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V\Desktop\20.07.2021. ārkārtas domes sēde\"/>
    </mc:Choice>
  </mc:AlternateContent>
  <xr:revisionPtr revIDLastSave="0" documentId="8_{D9F1E4BB-9248-47CE-BE6B-19DA32C18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matbudžets" sheetId="7" r:id="rId1"/>
    <sheet name="Lapa2" sheetId="9" state="hidden" r:id="rId2"/>
    <sheet name="Lapa1" sheetId="8" state="hidden" r:id="rId3"/>
    <sheet name="Cesvaines IZD pa VF" sheetId="4" state="hidden" r:id="rId4"/>
    <sheet name="Lubānas IZD pa VF" sheetId="5" state="hidden" r:id="rId5"/>
    <sheet name="Ērgļu apv. IZD pa VF" sheetId="3" state="hidden" r:id="rId6"/>
    <sheet name="Madonas IZD pa VF" sheetId="2" state="hidden" r:id="rId7"/>
  </sheets>
  <definedNames>
    <definedName name="_xlnm.Print_Area" localSheetId="0">Pamatbudžets!$A$1:$J$90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8" l="1"/>
  <c r="F42" i="8"/>
  <c r="F43" i="8"/>
  <c r="F44" i="8"/>
  <c r="F45" i="8"/>
  <c r="F46" i="8"/>
  <c r="F47" i="8"/>
  <c r="F48" i="8"/>
  <c r="F40" i="8"/>
  <c r="E67" i="8"/>
  <c r="F59" i="8" s="1"/>
  <c r="F70" i="8" l="1"/>
  <c r="F64" i="8"/>
  <c r="F68" i="8"/>
  <c r="F67" i="8"/>
  <c r="F66" i="8"/>
  <c r="F60" i="8"/>
  <c r="F69" i="8"/>
  <c r="F63" i="8"/>
  <c r="F62" i="8"/>
  <c r="F61" i="8"/>
  <c r="F58" i="8"/>
  <c r="F65" i="8"/>
  <c r="B18" i="9"/>
  <c r="B19" i="9"/>
  <c r="B17" i="9"/>
  <c r="B20" i="9" s="1"/>
  <c r="D16" i="9"/>
  <c r="D20" i="9" s="1"/>
  <c r="C20" i="9"/>
  <c r="F29" i="7"/>
  <c r="E29" i="7" s="1"/>
  <c r="F28" i="7"/>
  <c r="F27" i="7"/>
  <c r="F23" i="7"/>
  <c r="F18" i="7"/>
  <c r="E18" i="7" s="1"/>
  <c r="F19" i="7"/>
  <c r="F20" i="7"/>
  <c r="E20" i="7" s="1"/>
  <c r="F21" i="7"/>
  <c r="E21" i="7" s="1"/>
  <c r="F16" i="7"/>
  <c r="E16" i="7" s="1"/>
  <c r="F13" i="7"/>
  <c r="E13" i="7" s="1"/>
  <c r="F14" i="7"/>
  <c r="E14" i="7" s="1"/>
  <c r="F15" i="7"/>
  <c r="E15" i="7" s="1"/>
  <c r="F12" i="7"/>
  <c r="E12" i="7"/>
  <c r="G25" i="7"/>
  <c r="F25" i="7" s="1"/>
  <c r="G24" i="7"/>
  <c r="F24" i="7" s="1"/>
  <c r="E24" i="7" s="1"/>
  <c r="G23" i="7"/>
  <c r="G12" i="7"/>
  <c r="B6" i="9"/>
  <c r="C6" i="9"/>
  <c r="D6" i="9"/>
  <c r="E6" i="9"/>
  <c r="F4" i="9"/>
  <c r="F3" i="9"/>
  <c r="E88" i="7"/>
  <c r="G87" i="7"/>
  <c r="F87" i="7" s="1"/>
  <c r="E87" i="7" s="1"/>
  <c r="E19" i="7"/>
  <c r="E27" i="7"/>
  <c r="E26" i="7" s="1"/>
  <c r="I101" i="7"/>
  <c r="H101" i="7"/>
  <c r="G101" i="7"/>
  <c r="F101" i="7"/>
  <c r="I100" i="7"/>
  <c r="J100" i="7" s="1"/>
  <c r="J99" i="7"/>
  <c r="J98" i="7"/>
  <c r="J97" i="7"/>
  <c r="F88" i="7"/>
  <c r="K86" i="7"/>
  <c r="J86" i="7"/>
  <c r="I86" i="7"/>
  <c r="H86" i="7"/>
  <c r="J85" i="7"/>
  <c r="I85" i="7"/>
  <c r="H85" i="7"/>
  <c r="G85" i="7"/>
  <c r="J84" i="7"/>
  <c r="I84" i="7"/>
  <c r="H84" i="7"/>
  <c r="G84" i="7"/>
  <c r="J83" i="7"/>
  <c r="I83" i="7"/>
  <c r="H83" i="7"/>
  <c r="G83" i="7"/>
  <c r="F83" i="7" s="1"/>
  <c r="E83" i="7" s="1"/>
  <c r="J82" i="7"/>
  <c r="I82" i="7"/>
  <c r="H82" i="7"/>
  <c r="G82" i="7"/>
  <c r="J81" i="7"/>
  <c r="I81" i="7"/>
  <c r="I80" i="7" s="1"/>
  <c r="H81" i="7"/>
  <c r="H80" i="7" s="1"/>
  <c r="G81" i="7"/>
  <c r="K80" i="7"/>
  <c r="J79" i="7"/>
  <c r="I79" i="7"/>
  <c r="H79" i="7"/>
  <c r="G79" i="7"/>
  <c r="J78" i="7"/>
  <c r="I78" i="7"/>
  <c r="H78" i="7"/>
  <c r="G78" i="7"/>
  <c r="F78" i="7" s="1"/>
  <c r="E78" i="7" s="1"/>
  <c r="J77" i="7"/>
  <c r="I77" i="7"/>
  <c r="H77" i="7"/>
  <c r="G77" i="7"/>
  <c r="J76" i="7"/>
  <c r="I76" i="7"/>
  <c r="I74" i="7" s="1"/>
  <c r="H76" i="7"/>
  <c r="G76" i="7"/>
  <c r="J75" i="7"/>
  <c r="I75" i="7"/>
  <c r="H75" i="7"/>
  <c r="G75" i="7"/>
  <c r="F75" i="7" s="1"/>
  <c r="E75" i="7" s="1"/>
  <c r="K74" i="7"/>
  <c r="J74" i="7"/>
  <c r="J73" i="7"/>
  <c r="I73" i="7"/>
  <c r="H73" i="7"/>
  <c r="G73" i="7"/>
  <c r="F73" i="7" s="1"/>
  <c r="E73" i="7" s="1"/>
  <c r="J72" i="7"/>
  <c r="I72" i="7"/>
  <c r="H72" i="7"/>
  <c r="G72" i="7"/>
  <c r="F72" i="7"/>
  <c r="E72" i="7" s="1"/>
  <c r="J71" i="7"/>
  <c r="I71" i="7"/>
  <c r="H71" i="7"/>
  <c r="G71" i="7"/>
  <c r="F71" i="7"/>
  <c r="E71" i="7" s="1"/>
  <c r="J70" i="7"/>
  <c r="I70" i="7"/>
  <c r="F70" i="7" s="1"/>
  <c r="E70" i="7" s="1"/>
  <c r="H70" i="7"/>
  <c r="G70" i="7"/>
  <c r="J69" i="7"/>
  <c r="I69" i="7"/>
  <c r="H69" i="7"/>
  <c r="G69" i="7"/>
  <c r="F69" i="7" s="1"/>
  <c r="E69" i="7" s="1"/>
  <c r="J68" i="7"/>
  <c r="I68" i="7"/>
  <c r="I65" i="7" s="1"/>
  <c r="H68" i="7"/>
  <c r="G68" i="7"/>
  <c r="F68" i="7" s="1"/>
  <c r="E68" i="7" s="1"/>
  <c r="J67" i="7"/>
  <c r="I67" i="7"/>
  <c r="H67" i="7"/>
  <c r="G67" i="7"/>
  <c r="F67" i="7" s="1"/>
  <c r="E67" i="7" s="1"/>
  <c r="J66" i="7"/>
  <c r="J65" i="7" s="1"/>
  <c r="I66" i="7"/>
  <c r="H66" i="7"/>
  <c r="H65" i="7" s="1"/>
  <c r="J64" i="7"/>
  <c r="I64" i="7"/>
  <c r="H64" i="7"/>
  <c r="G64" i="7"/>
  <c r="F64" i="7" s="1"/>
  <c r="E64" i="7" s="1"/>
  <c r="K63" i="7"/>
  <c r="J62" i="7"/>
  <c r="J61" i="7" s="1"/>
  <c r="I62" i="7"/>
  <c r="I61" i="7" s="1"/>
  <c r="H62" i="7"/>
  <c r="H61" i="7" s="1"/>
  <c r="G62" i="7"/>
  <c r="K61" i="7"/>
  <c r="J60" i="7"/>
  <c r="I60" i="7"/>
  <c r="H60" i="7"/>
  <c r="G60" i="7"/>
  <c r="J59" i="7"/>
  <c r="I59" i="7"/>
  <c r="H59" i="7"/>
  <c r="G59" i="7"/>
  <c r="J58" i="7"/>
  <c r="I58" i="7"/>
  <c r="H58" i="7"/>
  <c r="G58" i="7"/>
  <c r="J57" i="7"/>
  <c r="I57" i="7"/>
  <c r="H57" i="7"/>
  <c r="G57" i="7"/>
  <c r="J56" i="7"/>
  <c r="I56" i="7"/>
  <c r="I55" i="7" s="1"/>
  <c r="H56" i="7"/>
  <c r="H55" i="7" s="1"/>
  <c r="G56" i="7"/>
  <c r="G55" i="7" s="1"/>
  <c r="K55" i="7"/>
  <c r="J54" i="7"/>
  <c r="I54" i="7"/>
  <c r="H54" i="7"/>
  <c r="G54" i="7"/>
  <c r="J53" i="7"/>
  <c r="I53" i="7"/>
  <c r="H53" i="7"/>
  <c r="G53" i="7"/>
  <c r="G50" i="7" s="1"/>
  <c r="J52" i="7"/>
  <c r="I52" i="7"/>
  <c r="H52" i="7"/>
  <c r="G52" i="7"/>
  <c r="J51" i="7"/>
  <c r="J50" i="7" s="1"/>
  <c r="I51" i="7"/>
  <c r="I50" i="7" s="1"/>
  <c r="H51" i="7"/>
  <c r="H50" i="7" s="1"/>
  <c r="G51" i="7"/>
  <c r="K50" i="7"/>
  <c r="J49" i="7"/>
  <c r="I49" i="7"/>
  <c r="H49" i="7"/>
  <c r="G49" i="7"/>
  <c r="J48" i="7"/>
  <c r="I48" i="7"/>
  <c r="H48" i="7"/>
  <c r="G48" i="7"/>
  <c r="J47" i="7"/>
  <c r="I47" i="7"/>
  <c r="H47" i="7"/>
  <c r="G47" i="7"/>
  <c r="F47" i="7" s="1"/>
  <c r="E47" i="7" s="1"/>
  <c r="J46" i="7"/>
  <c r="I46" i="7"/>
  <c r="H46" i="7"/>
  <c r="G46" i="7"/>
  <c r="H45" i="7"/>
  <c r="F45" i="7" s="1"/>
  <c r="E45" i="7" s="1"/>
  <c r="J44" i="7"/>
  <c r="I44" i="7"/>
  <c r="H44" i="7"/>
  <c r="G44" i="7"/>
  <c r="J43" i="7"/>
  <c r="I43" i="7"/>
  <c r="H43" i="7"/>
  <c r="G43" i="7"/>
  <c r="F43" i="7" s="1"/>
  <c r="E43" i="7" s="1"/>
  <c r="K42" i="7"/>
  <c r="J41" i="7"/>
  <c r="I41" i="7"/>
  <c r="H41" i="7"/>
  <c r="G41" i="7"/>
  <c r="J40" i="7"/>
  <c r="I40" i="7"/>
  <c r="H40" i="7"/>
  <c r="G40" i="7"/>
  <c r="J39" i="7"/>
  <c r="I39" i="7"/>
  <c r="I38" i="7" s="1"/>
  <c r="H39" i="7"/>
  <c r="H38" i="7" s="1"/>
  <c r="G39" i="7"/>
  <c r="G38" i="7" s="1"/>
  <c r="K38" i="7"/>
  <c r="J37" i="7"/>
  <c r="I37" i="7"/>
  <c r="I35" i="7" s="1"/>
  <c r="I31" i="7" s="1"/>
  <c r="H37" i="7"/>
  <c r="G37" i="7"/>
  <c r="J36" i="7"/>
  <c r="I36" i="7"/>
  <c r="H36" i="7"/>
  <c r="J34" i="7"/>
  <c r="I34" i="7"/>
  <c r="H34" i="7"/>
  <c r="G34" i="7"/>
  <c r="J33" i="7"/>
  <c r="I33" i="7"/>
  <c r="H33" i="7"/>
  <c r="G33" i="7"/>
  <c r="J32" i="7"/>
  <c r="I32" i="7"/>
  <c r="H32" i="7"/>
  <c r="G32" i="7"/>
  <c r="F32" i="7" s="1"/>
  <c r="E32" i="7" s="1"/>
  <c r="K26" i="7"/>
  <c r="J26" i="7"/>
  <c r="I26" i="7"/>
  <c r="H26" i="7"/>
  <c r="G26" i="7"/>
  <c r="K25" i="7"/>
  <c r="K24" i="7"/>
  <c r="K23" i="7"/>
  <c r="J22" i="7"/>
  <c r="I22" i="7"/>
  <c r="H22" i="7"/>
  <c r="H17" i="7"/>
  <c r="G17" i="7"/>
  <c r="F17" i="7" s="1"/>
  <c r="E17" i="7" s="1"/>
  <c r="K12" i="7"/>
  <c r="J11" i="7"/>
  <c r="I11" i="7"/>
  <c r="H11" i="7"/>
  <c r="J10" i="7"/>
  <c r="J8" i="7" s="1"/>
  <c r="F9" i="7"/>
  <c r="E9" i="7" s="1"/>
  <c r="J63" i="7" l="1"/>
  <c r="F54" i="7"/>
  <c r="E54" i="7" s="1"/>
  <c r="J38" i="7"/>
  <c r="I63" i="7"/>
  <c r="I30" i="7" s="1"/>
  <c r="H74" i="7"/>
  <c r="J80" i="7"/>
  <c r="H35" i="7"/>
  <c r="F59" i="7"/>
  <c r="E59" i="7" s="1"/>
  <c r="I10" i="7"/>
  <c r="I8" i="7" s="1"/>
  <c r="F41" i="7"/>
  <c r="E41" i="7" s="1"/>
  <c r="I42" i="7"/>
  <c r="F34" i="7"/>
  <c r="E34" i="7" s="1"/>
  <c r="J35" i="7"/>
  <c r="J31" i="7" s="1"/>
  <c r="J42" i="7"/>
  <c r="F46" i="7"/>
  <c r="E46" i="7" s="1"/>
  <c r="F49" i="7"/>
  <c r="E49" i="7" s="1"/>
  <c r="F53" i="7"/>
  <c r="E53" i="7" s="1"/>
  <c r="J55" i="7"/>
  <c r="J30" i="7" s="1"/>
  <c r="F58" i="7"/>
  <c r="E58" i="7" s="1"/>
  <c r="F77" i="7"/>
  <c r="E77" i="7" s="1"/>
  <c r="F82" i="7"/>
  <c r="E82" i="7" s="1"/>
  <c r="F85" i="7"/>
  <c r="E85" i="7" s="1"/>
  <c r="F40" i="7"/>
  <c r="E40" i="7" s="1"/>
  <c r="F44" i="7"/>
  <c r="E44" i="7" s="1"/>
  <c r="F62" i="7"/>
  <c r="E62" i="7" s="1"/>
  <c r="F6" i="9"/>
  <c r="F33" i="7"/>
  <c r="E33" i="7" s="1"/>
  <c r="F48" i="7"/>
  <c r="E48" i="7" s="1"/>
  <c r="F52" i="7"/>
  <c r="E52" i="7" s="1"/>
  <c r="F57" i="7"/>
  <c r="E57" i="7" s="1"/>
  <c r="F60" i="7"/>
  <c r="E60" i="7" s="1"/>
  <c r="F76" i="7"/>
  <c r="E76" i="7" s="1"/>
  <c r="F79" i="7"/>
  <c r="E79" i="7" s="1"/>
  <c r="F81" i="7"/>
  <c r="E81" i="7" s="1"/>
  <c r="F84" i="7"/>
  <c r="E84" i="7" s="1"/>
  <c r="J101" i="7"/>
  <c r="H63" i="7"/>
  <c r="E25" i="7"/>
  <c r="F86" i="7"/>
  <c r="E86" i="7" s="1"/>
  <c r="G86" i="7"/>
  <c r="G22" i="7"/>
  <c r="E23" i="7"/>
  <c r="E11" i="7"/>
  <c r="G11" i="7"/>
  <c r="H31" i="7"/>
  <c r="J89" i="7"/>
  <c r="J90" i="7" s="1"/>
  <c r="F61" i="7"/>
  <c r="E61" i="7" s="1"/>
  <c r="F74" i="7"/>
  <c r="E74" i="7" s="1"/>
  <c r="I89" i="7"/>
  <c r="I90" i="7" s="1"/>
  <c r="H42" i="7"/>
  <c r="K36" i="7"/>
  <c r="G36" i="7" s="1"/>
  <c r="F36" i="7" s="1"/>
  <c r="G74" i="7"/>
  <c r="K11" i="7"/>
  <c r="G80" i="7"/>
  <c r="K22" i="7"/>
  <c r="F26" i="7"/>
  <c r="F37" i="7"/>
  <c r="E37" i="7" s="1"/>
  <c r="F51" i="7"/>
  <c r="E51" i="7" s="1"/>
  <c r="H10" i="7"/>
  <c r="H8" i="7" s="1"/>
  <c r="F39" i="7"/>
  <c r="E39" i="7" s="1"/>
  <c r="F56" i="7"/>
  <c r="E56" i="7" s="1"/>
  <c r="G42" i="7"/>
  <c r="G61" i="7"/>
  <c r="F42" i="7" l="1"/>
  <c r="E42" i="7" s="1"/>
  <c r="F80" i="7"/>
  <c r="E80" i="7" s="1"/>
  <c r="E22" i="7"/>
  <c r="M26" i="7" s="1"/>
  <c r="G10" i="7"/>
  <c r="G8" i="7" s="1"/>
  <c r="K35" i="7"/>
  <c r="K31" i="7" s="1"/>
  <c r="H89" i="7"/>
  <c r="H30" i="7"/>
  <c r="F55" i="7"/>
  <c r="E55" i="7" s="1"/>
  <c r="F11" i="7"/>
  <c r="F22" i="7"/>
  <c r="F38" i="7"/>
  <c r="E38" i="7" s="1"/>
  <c r="H90" i="7"/>
  <c r="K10" i="7"/>
  <c r="K8" i="7" s="1"/>
  <c r="F50" i="7"/>
  <c r="E50" i="7" s="1"/>
  <c r="E10" i="7" l="1"/>
  <c r="N26" i="7" s="1"/>
  <c r="K30" i="7"/>
  <c r="K89" i="7"/>
  <c r="K90" i="7" s="1"/>
  <c r="G35" i="7"/>
  <c r="G31" i="7" s="1"/>
  <c r="F10" i="7"/>
  <c r="F8" i="7" s="1"/>
  <c r="E36" i="7" l="1"/>
  <c r="E35" i="7" s="1"/>
  <c r="F35" i="7"/>
  <c r="F31" i="7" s="1"/>
  <c r="E8" i="7"/>
  <c r="M24" i="7"/>
  <c r="M25" i="7"/>
  <c r="M29" i="7"/>
  <c r="M23" i="7"/>
  <c r="M22" i="7"/>
  <c r="E31" i="7" l="1"/>
  <c r="B19" i="2" l="1"/>
  <c r="G66" i="7" s="1"/>
  <c r="G65" i="7" l="1"/>
  <c r="F66" i="7"/>
  <c r="E66" i="7" s="1"/>
  <c r="B48" i="3"/>
  <c r="B83" i="5"/>
  <c r="B42" i="4"/>
  <c r="F65" i="7" l="1"/>
  <c r="G63" i="7"/>
  <c r="G89" i="7" l="1"/>
  <c r="G90" i="7" s="1"/>
  <c r="G30" i="7"/>
  <c r="E65" i="7"/>
  <c r="F63" i="7"/>
  <c r="E63" i="7" l="1"/>
  <c r="F30" i="7"/>
  <c r="E30" i="7" l="1"/>
  <c r="F89" i="7"/>
  <c r="E89" i="7" l="1"/>
  <c r="F90" i="7"/>
  <c r="E9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AijaK</author>
  </authors>
  <commentList>
    <comment ref="D8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finansēšana kā izdevumi</t>
        </r>
        <r>
          <rPr>
            <sz val="9"/>
            <color indexed="81"/>
            <rFont val="Tahoma"/>
            <family val="2"/>
            <charset val="186"/>
          </rPr>
          <t xml:space="preserve">
ja summa ar "+", tad tiks atmaksāts vairāk nekā tiks saņemti aizņēmumi
"-" uzskatāms kā izdevumu samazinājums (ieņēmums)</t>
        </r>
      </text>
    </comment>
  </commentList>
</comments>
</file>

<file path=xl/sharedStrings.xml><?xml version="1.0" encoding="utf-8"?>
<sst xmlns="http://schemas.openxmlformats.org/spreadsheetml/2006/main" count="505" uniqueCount="258">
  <si>
    <t>Pielikums Nr.3</t>
  </si>
  <si>
    <t>Madonas novada pašvaldības domes</t>
  </si>
  <si>
    <t>Kods</t>
  </si>
  <si>
    <t>Pozīcijas nosaukums</t>
  </si>
  <si>
    <t>KĀRTĒJIE GADA IEŅĒMUMI</t>
  </si>
  <si>
    <t>Nodokļu ieņēmumi</t>
  </si>
  <si>
    <t>1.1.0.0.</t>
  </si>
  <si>
    <t>Iedzīvotāju ienākuma nodoklis</t>
  </si>
  <si>
    <t>4.1.0.0.</t>
  </si>
  <si>
    <t>04.100</t>
  </si>
  <si>
    <t>Nekustamā īpašuma nodoklis</t>
  </si>
  <si>
    <t>5.4.1.0.</t>
  </si>
  <si>
    <t>Azartspēļu nodoklis</t>
  </si>
  <si>
    <t>8.6.2.0.</t>
  </si>
  <si>
    <t>08.600</t>
  </si>
  <si>
    <t>Procentu ieņēmumi par kontu atlikumiem</t>
  </si>
  <si>
    <t>9.0.0.0.</t>
  </si>
  <si>
    <t>09.500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</si>
  <si>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</si>
  <si>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</si>
  <si>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</si>
  <si>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</si>
  <si>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</si>
  <si>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</si>
  <si>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Ieņēmumi no pašvaldības īpašumu pārdošanas</t>
  </si>
  <si>
    <t>18.0.0.0.</t>
  </si>
  <si>
    <t>Valsts budžeta transferti</t>
  </si>
  <si>
    <t>18.6.4.0.</t>
  </si>
  <si>
    <t>Pašvaldības budžetā saņemtā dotācija no pašvaldību finanšu izlīdzināšanas fonda</t>
  </si>
  <si>
    <t>18.6.2.0.</t>
  </si>
  <si>
    <t>Pašvaldības saņemtie valsts budžeta transferti noteiktam mērķim</t>
  </si>
  <si>
    <t>19.0.0.0.</t>
  </si>
  <si>
    <t>Pašvaldību budžeta transferti</t>
  </si>
  <si>
    <t>21.0.0.0.</t>
  </si>
  <si>
    <t>Budžeta iestāžu ieņēmumi</t>
  </si>
  <si>
    <t>KĀRTĒJIE  GADA  IZDEVUMI</t>
  </si>
  <si>
    <t>01.000</t>
  </si>
  <si>
    <t>Vispārējie valdības dienesti</t>
  </si>
  <si>
    <t>01.100</t>
  </si>
  <si>
    <t>Izpildvara, likumdošanas vara, finanšu un fiskālā darbība, ārlietas</t>
  </si>
  <si>
    <t>01.600</t>
  </si>
  <si>
    <t>01.700</t>
  </si>
  <si>
    <t>Vispārējās valdības sektora (valsts un pašvaldības) parāda darījumi</t>
  </si>
  <si>
    <t>01.800</t>
  </si>
  <si>
    <t>Vispārēja rakstura transferti starp valsts pārvaldes dažādiem līmeņiem</t>
  </si>
  <si>
    <t>03.000</t>
  </si>
  <si>
    <t>Sabiedriskā kārtība un drošība</t>
  </si>
  <si>
    <t>03.100</t>
  </si>
  <si>
    <t>Pašvaldības policija</t>
  </si>
  <si>
    <t>03.200</t>
  </si>
  <si>
    <t>Ugunsdrošības, glābšanas un civilās drošības dieneti</t>
  </si>
  <si>
    <t>03.600</t>
  </si>
  <si>
    <t>Pārējie iepriekš neklasificētie sabiedriskās kārtības un drošības pakalpojumi</t>
  </si>
  <si>
    <t>04.000</t>
  </si>
  <si>
    <t>Ekonomiskā darbība</t>
  </si>
  <si>
    <t>Vispārēja ekonomiska, komerciāla un nodarbinātības darbība</t>
  </si>
  <si>
    <t>04.200</t>
  </si>
  <si>
    <t>Lauksaimniecība, mežsaimniecība, zivsaimniecība un medniecība</t>
  </si>
  <si>
    <t>04.700</t>
  </si>
  <si>
    <t>04.900</t>
  </si>
  <si>
    <t>Pārējā citur neklasificēta ekonomiskā darbība</t>
  </si>
  <si>
    <t>05.000</t>
  </si>
  <si>
    <t>Vides aizsardzība</t>
  </si>
  <si>
    <t>05.100</t>
  </si>
  <si>
    <t>05.200</t>
  </si>
  <si>
    <t>05.300</t>
  </si>
  <si>
    <t>05.600</t>
  </si>
  <si>
    <t>Pārējā vides aizsardzība</t>
  </si>
  <si>
    <t>06.000</t>
  </si>
  <si>
    <t>Teritoriju un mājokļu apsaimniekošana</t>
  </si>
  <si>
    <t>06.100</t>
  </si>
  <si>
    <t>06.200</t>
  </si>
  <si>
    <t>06.600</t>
  </si>
  <si>
    <t>07.000</t>
  </si>
  <si>
    <t>Veselība</t>
  </si>
  <si>
    <t>07.200</t>
  </si>
  <si>
    <t>08.000</t>
  </si>
  <si>
    <t>Atpūta, kultūra un reliģija</t>
  </si>
  <si>
    <t>08.100</t>
  </si>
  <si>
    <t>08.200</t>
  </si>
  <si>
    <t>08.400</t>
  </si>
  <si>
    <t>09.000</t>
  </si>
  <si>
    <t>Izglītība</t>
  </si>
  <si>
    <t>09.100</t>
  </si>
  <si>
    <t>09.200</t>
  </si>
  <si>
    <t>09.600</t>
  </si>
  <si>
    <t>09.800</t>
  </si>
  <si>
    <t>10.000</t>
  </si>
  <si>
    <t>Sociālā aizsardzība</t>
  </si>
  <si>
    <t>10.200</t>
  </si>
  <si>
    <t>10.400</t>
  </si>
  <si>
    <t>10.700</t>
  </si>
  <si>
    <t>10.900</t>
  </si>
  <si>
    <t>Finansēšana</t>
  </si>
  <si>
    <t>Izdevumi kopā ar finansēšanu</t>
  </si>
  <si>
    <t xml:space="preserve">Pārējie iepriekš neklasificētie vispārējie valdības dienesti </t>
  </si>
  <si>
    <t>01110</t>
  </si>
  <si>
    <t>01721</t>
  </si>
  <si>
    <t>01723</t>
  </si>
  <si>
    <t>03600</t>
  </si>
  <si>
    <t>04120</t>
  </si>
  <si>
    <t>04210</t>
  </si>
  <si>
    <t>04730</t>
  </si>
  <si>
    <t>04910</t>
  </si>
  <si>
    <t>Tūrisms</t>
  </si>
  <si>
    <t>05100</t>
  </si>
  <si>
    <t>05300</t>
  </si>
  <si>
    <t>06100</t>
  </si>
  <si>
    <t>06200</t>
  </si>
  <si>
    <t>06600</t>
  </si>
  <si>
    <t>06300</t>
  </si>
  <si>
    <t>06.400</t>
  </si>
  <si>
    <t>06400</t>
  </si>
  <si>
    <t>08100</t>
  </si>
  <si>
    <t>08400</t>
  </si>
  <si>
    <t>09100</t>
  </si>
  <si>
    <t>Ielu apgaismošana</t>
  </si>
  <si>
    <t>Pārējā citur neklasificētā pašvaldību teritoriju un mājokļu apsaimniekošanas darbība</t>
  </si>
  <si>
    <t>Vides piesārņojuma novēršana un samazināšana</t>
  </si>
  <si>
    <t>Ambulatoro ārstniecības iestāžu darbība un pakalpojumi</t>
  </si>
  <si>
    <t>Reliģisko organizāciju un citu biedrību un nodibinājumu pakalpojumi</t>
  </si>
  <si>
    <t>Pārējie citur neklasificētie sporta, atpūtas, kultūras un reliģijas pakalpojumi</t>
  </si>
  <si>
    <t>Atkritumu apsaimniekošana</t>
  </si>
  <si>
    <t>Notekūdeņu apsaimniekošana</t>
  </si>
  <si>
    <t>06.300</t>
  </si>
  <si>
    <t>09600</t>
  </si>
  <si>
    <t>10200</t>
  </si>
  <si>
    <t>10400</t>
  </si>
  <si>
    <t>10700</t>
  </si>
  <si>
    <t>Ūdensapgāde</t>
  </si>
  <si>
    <t>07210</t>
  </si>
  <si>
    <t>07230</t>
  </si>
  <si>
    <t>08210</t>
  </si>
  <si>
    <t>08220</t>
  </si>
  <si>
    <t>08230</t>
  </si>
  <si>
    <t>08250</t>
  </si>
  <si>
    <t>08290</t>
  </si>
  <si>
    <t xml:space="preserve">Bibliotēkas </t>
  </si>
  <si>
    <t>Muzeji un izstādes</t>
  </si>
  <si>
    <t>Kultūras nami, klubi, centri</t>
  </si>
  <si>
    <t>Kultūras pasākumi</t>
  </si>
  <si>
    <t>Pārējā citur neklasificētā kultūra (pašdarbības kolektīvi)</t>
  </si>
  <si>
    <t>08620</t>
  </si>
  <si>
    <t>09219</t>
  </si>
  <si>
    <t>09510</t>
  </si>
  <si>
    <t>09810</t>
  </si>
  <si>
    <t>09820</t>
  </si>
  <si>
    <t>10910</t>
  </si>
  <si>
    <t>10920</t>
  </si>
  <si>
    <t>01600</t>
  </si>
  <si>
    <t>01800</t>
  </si>
  <si>
    <t>03200</t>
  </si>
  <si>
    <t>05200</t>
  </si>
  <si>
    <t>Valdības funkcijas kods</t>
  </si>
  <si>
    <t>Summa: Tāmes#Summa</t>
  </si>
  <si>
    <t>Jāatjauno!!!!</t>
  </si>
  <si>
    <t>05600</t>
  </si>
  <si>
    <t>03100</t>
  </si>
  <si>
    <t>09500</t>
  </si>
  <si>
    <t>Kapitala daļu iegāde</t>
  </si>
  <si>
    <t>Madona</t>
  </si>
  <si>
    <t>Ieņēmumi</t>
  </si>
  <si>
    <t>Izdevumi</t>
  </si>
  <si>
    <t>Ērgļi</t>
  </si>
  <si>
    <t>Cesvaine</t>
  </si>
  <si>
    <t>Lubāna</t>
  </si>
  <si>
    <t>Atlikums perioda beigās</t>
  </si>
  <si>
    <t>Atlikums perioda sāk.</t>
  </si>
  <si>
    <t>5.3.0.0</t>
  </si>
  <si>
    <t>Dabas resursu nodoklis</t>
  </si>
  <si>
    <t>Madonas novada pašvaldības pamatbudžets 2021. gads</t>
  </si>
  <si>
    <t>LUBĀNAS apvienības pārvalde</t>
  </si>
  <si>
    <t>ĒRGĻU apvienības pārvalde</t>
  </si>
  <si>
    <t>CESVAINES apvienības pārvalde</t>
  </si>
  <si>
    <t>18.6.3.0</t>
  </si>
  <si>
    <t>Pašvaldību no valsts budžeta iestādēm saņemtie transferti Eiropas Savienības politiku instrumentu un pārējās ārvalstu finanšu palīdzības līdzfinansētajiem projektiem (pasākumiem)</t>
  </si>
  <si>
    <t xml:space="preserve">Ieņēmumi pašvaldības budžetā no citām pašvaldībām </t>
  </si>
  <si>
    <t>Pašvaldības un tās iestāžu savstarpējie transferti</t>
  </si>
  <si>
    <t>19.2.0.0</t>
  </si>
  <si>
    <t>19.3.0.0</t>
  </si>
  <si>
    <t>FINANSĒŠANA</t>
  </si>
  <si>
    <t>transferts uz Ērgļiem</t>
  </si>
  <si>
    <t>transferts uz Cesvaini</t>
  </si>
  <si>
    <t>transferts uz Lubānu</t>
  </si>
  <si>
    <t>04400</t>
  </si>
  <si>
    <t>04500</t>
  </si>
  <si>
    <t>04.400</t>
  </si>
  <si>
    <t>04.500</t>
  </si>
  <si>
    <t>10120</t>
  </si>
  <si>
    <t>04700</t>
  </si>
  <si>
    <t>04300</t>
  </si>
  <si>
    <t>04.300</t>
  </si>
  <si>
    <t>Siltumapgāde</t>
  </si>
  <si>
    <t>08610</t>
  </si>
  <si>
    <t>09110</t>
  </si>
  <si>
    <t>09210</t>
  </si>
  <si>
    <t>Sociālā aizsardzība darbnespējas gadījumā</t>
  </si>
  <si>
    <t>10.100</t>
  </si>
  <si>
    <t>Vispārēja rakstura transferti no pašvaldību budžeta pašvaldību budžetam</t>
  </si>
  <si>
    <t>01.830</t>
  </si>
  <si>
    <t>01.890</t>
  </si>
  <si>
    <t>01830</t>
  </si>
  <si>
    <t>01890</t>
  </si>
  <si>
    <t>Pārējie citur neklasificētie vispārēja rakstura transferti starp dažādiem valsts pārvaldes līmeņiem (t.sk. līdzekļi neparedzētiem gadījumiem)</t>
  </si>
  <si>
    <t>Teritoriju attīstība</t>
  </si>
  <si>
    <t>Mājokļu attīstība</t>
  </si>
  <si>
    <t>Atpūtas un sporta pasākumi</t>
  </si>
  <si>
    <t>Kultūra</t>
  </si>
  <si>
    <t>Pirmsskolas izglītība</t>
  </si>
  <si>
    <t>Vispārējā izglītība</t>
  </si>
  <si>
    <t>Interešu un profesionālās ievirzes izglītība</t>
  </si>
  <si>
    <t>Izglītības papildu izdevumi</t>
  </si>
  <si>
    <t>Pārējā citur neklasificētā izglītība</t>
  </si>
  <si>
    <t>Atbalsts gados veciem cilvēkiem</t>
  </si>
  <si>
    <t>Atbalsts ģimenēm ar bērniem</t>
  </si>
  <si>
    <t>Pārējais citur neklasificēts atbalsts sociāli atstumtām personām</t>
  </si>
  <si>
    <t>Pārējā citur neklasificētā sociālā aizsardzība</t>
  </si>
  <si>
    <t>Aizņēmumi(-) un to atmaksa ( + )</t>
  </si>
  <si>
    <t>17.0.0.0.</t>
  </si>
  <si>
    <t>No valsts budžeta daļēji finansētu atvasinātu publisku personu un budžeta nefinansētu iestāžu transferti</t>
  </si>
  <si>
    <t>08.300</t>
  </si>
  <si>
    <t>08300</t>
  </si>
  <si>
    <t>Apraides un izdevniecības pakalpojumi</t>
  </si>
  <si>
    <t>Ieguves rūpniecība, apstrādes rūpniecība un būvniecība</t>
  </si>
  <si>
    <t>Transports</t>
  </si>
  <si>
    <t>KOPĀ MADONAS NOVADS</t>
  </si>
  <si>
    <t>bij. MADONAS novada teritorija</t>
  </si>
  <si>
    <t>NAUDAS LĪDZEKĻU ATLIKUMS UZ GADA SĀKUMU</t>
  </si>
  <si>
    <t>Ieņēmumi un gada sākuma atlikums kopā</t>
  </si>
  <si>
    <t>NAUDAS LĪDZEKĻU ATLIKUMS PERIODA BEIGĀS</t>
  </si>
  <si>
    <t>Transferti</t>
  </si>
  <si>
    <t>Kopā MADONAS NOVADA konsolidētais budžets</t>
  </si>
  <si>
    <t>Pārbaudei</t>
  </si>
  <si>
    <t>Atalgojums</t>
  </si>
  <si>
    <t>DD VSAOI</t>
  </si>
  <si>
    <t>Mācību, darba un dienseta komandējumi</t>
  </si>
  <si>
    <t>Pakalpojumi</t>
  </si>
  <si>
    <t>Krājumi, materiāli, energoresursi, preces, biroja preces in inventārs, kurus neuzsakite kodā 5000</t>
  </si>
  <si>
    <t>Periodikas iegāde</t>
  </si>
  <si>
    <t>Nodokļi</t>
  </si>
  <si>
    <t>Subsīdijas un dotācijas</t>
  </si>
  <si>
    <t>Procentu maksājumi</t>
  </si>
  <si>
    <t>Nemateriālie ieguldījumi, pamatlīdzekļi</t>
  </si>
  <si>
    <t>Izdevumi par kapitāla daļu pārdošanu un pārvērtēšanu, vērtspapīru tirdzniecību un pārvērtēšanu un kapitāla daļu iegādi</t>
  </si>
  <si>
    <t>Pabalsti, dotācijas</t>
  </si>
  <si>
    <t>Pašvaldību transferti un uzturēšanas izdevumu transferti</t>
  </si>
  <si>
    <t>KOPĀ</t>
  </si>
  <si>
    <t>FINANSĒŠANA KOPĀ</t>
  </si>
  <si>
    <t>Aizņēmumi</t>
  </si>
  <si>
    <t>Aizņēmumu atmaksa</t>
  </si>
  <si>
    <t>Pārvalde</t>
  </si>
  <si>
    <t>Transferts</t>
  </si>
  <si>
    <t>bij. Madonas nov.</t>
  </si>
  <si>
    <t>Lubānas apvienības pārvalde</t>
  </si>
  <si>
    <t>Ērgļu apvienības pārvalde</t>
  </si>
  <si>
    <t>Cesvaines apvienības pārvalde</t>
  </si>
  <si>
    <t>29.07.2021. lēmumam Nr.53</t>
  </si>
  <si>
    <t>(protokols Nr.5, 23.p.)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</si>
</sst>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4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rgb="FF000000"/>
      <name val="Calibri"/>
      <family val="2"/>
      <charset val="186"/>
    </font>
    <font>
      <i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3" fontId="0" fillId="0" borderId="0" xfId="0" applyNumberFormat="1"/>
    <xf numFmtId="0" fontId="3" fillId="0" borderId="1" xfId="0" applyFont="1" applyBorder="1"/>
    <xf numFmtId="49" fontId="0" fillId="0" borderId="1" xfId="0" applyNumberFormat="1" applyBorder="1"/>
    <xf numFmtId="10" fontId="0" fillId="0" borderId="0" xfId="1" applyNumberFormat="1" applyFont="1"/>
    <xf numFmtId="164" fontId="0" fillId="0" borderId="0" xfId="1" applyNumberFormat="1" applyFont="1"/>
    <xf numFmtId="49" fontId="0" fillId="0" borderId="2" xfId="0" applyNumberFormat="1" applyBorder="1"/>
    <xf numFmtId="49" fontId="4" fillId="0" borderId="1" xfId="0" applyNumberFormat="1" applyFont="1" applyBorder="1"/>
    <xf numFmtId="0" fontId="9" fillId="0" borderId="0" xfId="0" applyFont="1"/>
    <xf numFmtId="49" fontId="4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0" borderId="2" xfId="0" applyNumberFormat="1" applyFont="1" applyBorder="1"/>
    <xf numFmtId="49" fontId="10" fillId="0" borderId="1" xfId="0" applyNumberFormat="1" applyFont="1" applyBorder="1"/>
    <xf numFmtId="0" fontId="13" fillId="0" borderId="0" xfId="0" applyFont="1"/>
    <xf numFmtId="3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0" fillId="0" borderId="1" xfId="0" applyFill="1" applyBorder="1"/>
    <xf numFmtId="0" fontId="0" fillId="0" borderId="0" xfId="0"/>
    <xf numFmtId="0" fontId="0" fillId="0" borderId="0" xfId="0" applyNumberFormat="1"/>
    <xf numFmtId="0" fontId="0" fillId="0" borderId="0" xfId="0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3" fontId="0" fillId="0" borderId="1" xfId="0" applyNumberFormat="1" applyFill="1" applyBorder="1"/>
    <xf numFmtId="3" fontId="0" fillId="0" borderId="1" xfId="1" applyNumberFormat="1" applyFont="1" applyFill="1" applyBorder="1"/>
    <xf numFmtId="1" fontId="0" fillId="0" borderId="1" xfId="1" applyNumberFormat="1" applyFont="1" applyFill="1" applyBorder="1"/>
    <xf numFmtId="3" fontId="14" fillId="0" borderId="3" xfId="0" applyNumberFormat="1" applyFont="1" applyBorder="1" applyAlignment="1">
      <alignment horizontal="left" wrapText="1" indent="2"/>
    </xf>
    <xf numFmtId="0" fontId="0" fillId="0" borderId="0" xfId="0" applyFont="1" applyFill="1" applyBorder="1"/>
    <xf numFmtId="49" fontId="4" fillId="0" borderId="0" xfId="0" applyNumberFormat="1" applyFont="1" applyBorder="1"/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left"/>
    </xf>
    <xf numFmtId="49" fontId="4" fillId="0" borderId="0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/>
    </xf>
    <xf numFmtId="3" fontId="1" fillId="0" borderId="1" xfId="1" applyNumberFormat="1" applyFont="1" applyFill="1" applyBorder="1"/>
    <xf numFmtId="1" fontId="3" fillId="0" borderId="1" xfId="1" applyNumberFormat="1" applyFont="1" applyFill="1" applyBorder="1" applyAlignment="1">
      <alignment horizontal="center"/>
    </xf>
    <xf numFmtId="1" fontId="1" fillId="0" borderId="1" xfId="1" applyNumberFormat="1" applyFont="1" applyFill="1" applyBorder="1"/>
    <xf numFmtId="1" fontId="1" fillId="0" borderId="1" xfId="1" applyNumberFormat="1" applyFont="1" applyBorder="1"/>
    <xf numFmtId="1" fontId="3" fillId="0" borderId="1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6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0" xfId="0" applyFont="1" applyBorder="1" applyAlignment="1">
      <alignment horizontal="left" wrapText="1" indent="2"/>
    </xf>
    <xf numFmtId="0" fontId="4" fillId="0" borderId="6" xfId="0" applyFont="1" applyBorder="1" applyAlignment="1">
      <alignment horizontal="right"/>
    </xf>
    <xf numFmtId="49" fontId="4" fillId="0" borderId="6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10" fillId="0" borderId="6" xfId="0" applyFont="1" applyBorder="1"/>
    <xf numFmtId="3" fontId="2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0" fillId="0" borderId="6" xfId="0" applyNumberFormat="1" applyFill="1" applyBorder="1"/>
    <xf numFmtId="3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0" fillId="0" borderId="6" xfId="0" applyNumberFormat="1" applyFill="1" applyBorder="1"/>
    <xf numFmtId="1" fontId="0" fillId="0" borderId="6" xfId="0" applyNumberFormat="1" applyBorder="1"/>
    <xf numFmtId="0" fontId="3" fillId="0" borderId="6" xfId="0" applyFont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6" fillId="0" borderId="6" xfId="0" applyFont="1" applyBorder="1" applyAlignment="1">
      <alignment horizontal="right"/>
    </xf>
    <xf numFmtId="1" fontId="0" fillId="0" borderId="8" xfId="0" applyNumberForma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0" fillId="0" borderId="1" xfId="0" applyFont="1" applyFill="1" applyBorder="1"/>
    <xf numFmtId="0" fontId="4" fillId="0" borderId="2" xfId="0" applyFont="1" applyBorder="1" applyAlignment="1">
      <alignment horizontal="left" indent="2"/>
    </xf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6" xfId="0" applyFont="1" applyFill="1" applyBorder="1"/>
    <xf numFmtId="0" fontId="0" fillId="0" borderId="6" xfId="0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1" fontId="22" fillId="0" borderId="6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49" fontId="15" fillId="0" borderId="6" xfId="0" applyNumberFormat="1" applyFont="1" applyBorder="1" applyAlignment="1">
      <alignment horizontal="left" indent="2"/>
    </xf>
    <xf numFmtId="3" fontId="23" fillId="0" borderId="12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6" fillId="3" borderId="11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4" fillId="0" borderId="12" xfId="0" applyFont="1" applyBorder="1"/>
    <xf numFmtId="49" fontId="4" fillId="0" borderId="14" xfId="0" applyNumberFormat="1" applyFont="1" applyBorder="1"/>
    <xf numFmtId="49" fontId="4" fillId="0" borderId="13" xfId="0" applyNumberFormat="1" applyFont="1" applyBorder="1"/>
    <xf numFmtId="49" fontId="6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4" fillId="0" borderId="3" xfId="0" applyFont="1" applyBorder="1" applyAlignment="1">
      <alignment horizontal="left" wrapText="1" indent="2"/>
    </xf>
    <xf numFmtId="0" fontId="7" fillId="0" borderId="3" xfId="0" applyFont="1" applyBorder="1"/>
    <xf numFmtId="0" fontId="15" fillId="0" borderId="2" xfId="0" applyFont="1" applyBorder="1" applyAlignment="1">
      <alignment horizontal="left" wrapText="1" indent="4"/>
    </xf>
    <xf numFmtId="0" fontId="7" fillId="0" borderId="2" xfId="0" applyFont="1" applyBorder="1"/>
    <xf numFmtId="0" fontId="4" fillId="0" borderId="2" xfId="0" applyFont="1" applyFill="1" applyBorder="1" applyAlignment="1">
      <alignment horizontal="left" wrapText="1" indent="2"/>
    </xf>
    <xf numFmtId="0" fontId="15" fillId="0" borderId="2" xfId="0" applyFont="1" applyBorder="1" applyAlignment="1">
      <alignment horizontal="left" indent="4"/>
    </xf>
    <xf numFmtId="164" fontId="0" fillId="0" borderId="2" xfId="1" applyNumberFormat="1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4" borderId="6" xfId="0" applyFont="1" applyFill="1" applyBorder="1"/>
    <xf numFmtId="49" fontId="4" fillId="4" borderId="2" xfId="0" applyNumberFormat="1" applyFont="1" applyFill="1" applyBorder="1"/>
    <xf numFmtId="49" fontId="4" fillId="4" borderId="1" xfId="0" applyNumberFormat="1" applyFont="1" applyFill="1" applyBorder="1"/>
    <xf numFmtId="0" fontId="22" fillId="4" borderId="0" xfId="0" applyFont="1" applyFill="1" applyAlignment="1">
      <alignment horizontal="center"/>
    </xf>
    <xf numFmtId="0" fontId="10" fillId="4" borderId="6" xfId="0" applyFont="1" applyFill="1" applyBorder="1"/>
    <xf numFmtId="49" fontId="10" fillId="4" borderId="1" xfId="0" applyNumberFormat="1" applyFont="1" applyFill="1" applyBorder="1"/>
    <xf numFmtId="0" fontId="20" fillId="4" borderId="3" xfId="0" applyFont="1" applyFill="1" applyBorder="1" applyAlignment="1">
      <alignment horizontal="center"/>
    </xf>
    <xf numFmtId="0" fontId="4" fillId="4" borderId="1" xfId="0" applyFont="1" applyFill="1" applyBorder="1"/>
    <xf numFmtId="3" fontId="23" fillId="3" borderId="19" xfId="0" applyNumberFormat="1" applyFont="1" applyFill="1" applyBorder="1" applyAlignment="1">
      <alignment horizontal="center"/>
    </xf>
    <xf numFmtId="3" fontId="22" fillId="3" borderId="20" xfId="0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3" fontId="0" fillId="3" borderId="20" xfId="0" applyNumberFormat="1" applyFill="1" applyBorder="1"/>
    <xf numFmtId="1" fontId="0" fillId="3" borderId="20" xfId="0" applyNumberFormat="1" applyFill="1" applyBorder="1"/>
    <xf numFmtId="0" fontId="3" fillId="3" borderId="20" xfId="0" applyFont="1" applyFill="1" applyBorder="1" applyAlignment="1">
      <alignment horizontal="center"/>
    </xf>
    <xf numFmtId="0" fontId="0" fillId="3" borderId="20" xfId="0" applyFont="1" applyFill="1" applyBorder="1"/>
    <xf numFmtId="1" fontId="3" fillId="3" borderId="20" xfId="0" applyNumberFormat="1" applyFont="1" applyFill="1" applyBorder="1" applyAlignment="1">
      <alignment horizontal="center"/>
    </xf>
    <xf numFmtId="0" fontId="21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7" fillId="3" borderId="20" xfId="0" applyFont="1" applyFill="1" applyBorder="1" applyAlignment="1">
      <alignment horizontal="right"/>
    </xf>
    <xf numFmtId="1" fontId="22" fillId="3" borderId="20" xfId="0" applyNumberFormat="1" applyFont="1" applyFill="1" applyBorder="1" applyAlignment="1">
      <alignment horizontal="center"/>
    </xf>
    <xf numFmtId="1" fontId="0" fillId="3" borderId="20" xfId="0" applyNumberFormat="1" applyFill="1" applyBorder="1" applyAlignment="1">
      <alignment horizontal="center"/>
    </xf>
    <xf numFmtId="3" fontId="5" fillId="3" borderId="2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left" vertical="top" wrapText="1" indent="2"/>
    </xf>
    <xf numFmtId="0" fontId="8" fillId="2" borderId="23" xfId="0" applyFont="1" applyFill="1" applyBorder="1" applyAlignment="1">
      <alignment horizontal="left" vertical="top" wrapText="1" indent="2"/>
    </xf>
    <xf numFmtId="0" fontId="20" fillId="4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wrapText="1"/>
    </xf>
    <xf numFmtId="3" fontId="23" fillId="4" borderId="19" xfId="0" applyNumberFormat="1" applyFont="1" applyFill="1" applyBorder="1" applyAlignment="1">
      <alignment horizontal="center"/>
    </xf>
    <xf numFmtId="3" fontId="22" fillId="4" borderId="20" xfId="0" applyNumberFormat="1" applyFont="1" applyFill="1" applyBorder="1" applyAlignment="1">
      <alignment horizontal="center"/>
    </xf>
    <xf numFmtId="3" fontId="3" fillId="4" borderId="20" xfId="0" applyNumberFormat="1" applyFont="1" applyFill="1" applyBorder="1" applyAlignment="1">
      <alignment horizontal="center"/>
    </xf>
    <xf numFmtId="3" fontId="0" fillId="4" borderId="20" xfId="0" applyNumberFormat="1" applyFill="1" applyBorder="1"/>
    <xf numFmtId="1" fontId="0" fillId="4" borderId="20" xfId="0" applyNumberFormat="1" applyFill="1" applyBorder="1"/>
    <xf numFmtId="0" fontId="3" fillId="4" borderId="20" xfId="0" applyFont="1" applyFill="1" applyBorder="1" applyAlignment="1">
      <alignment horizontal="center"/>
    </xf>
    <xf numFmtId="0" fontId="0" fillId="4" borderId="20" xfId="0" applyFont="1" applyFill="1" applyBorder="1"/>
    <xf numFmtId="1" fontId="3" fillId="4" borderId="20" xfId="0" applyNumberFormat="1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7" fillId="4" borderId="20" xfId="0" applyFont="1" applyFill="1" applyBorder="1" applyAlignment="1">
      <alignment horizontal="right"/>
    </xf>
    <xf numFmtId="1" fontId="22" fillId="4" borderId="20" xfId="0" applyNumberFormat="1" applyFont="1" applyFill="1" applyBorder="1" applyAlignment="1">
      <alignment horizontal="center"/>
    </xf>
    <xf numFmtId="1" fontId="0" fillId="4" borderId="20" xfId="0" applyNumberFormat="1" applyFill="1" applyBorder="1" applyAlignment="1">
      <alignment horizontal="center"/>
    </xf>
    <xf numFmtId="3" fontId="5" fillId="4" borderId="21" xfId="0" applyNumberFormat="1" applyFont="1" applyFill="1" applyBorder="1" applyAlignment="1">
      <alignment horizontal="center"/>
    </xf>
    <xf numFmtId="0" fontId="3" fillId="0" borderId="11" xfId="0" applyFont="1" applyBorder="1"/>
    <xf numFmtId="3" fontId="23" fillId="0" borderId="24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0" fillId="0" borderId="20" xfId="0" applyBorder="1"/>
    <xf numFmtId="0" fontId="3" fillId="0" borderId="20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" fontId="0" fillId="0" borderId="20" xfId="1" applyNumberFormat="1" applyFont="1" applyBorder="1" applyAlignment="1">
      <alignment horizontal="right"/>
    </xf>
    <xf numFmtId="0" fontId="2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6" fillId="0" borderId="20" xfId="0" applyFont="1" applyBorder="1"/>
    <xf numFmtId="0" fontId="17" fillId="0" borderId="20" xfId="0" applyFont="1" applyBorder="1" applyAlignment="1">
      <alignment horizontal="right"/>
    </xf>
    <xf numFmtId="3" fontId="5" fillId="0" borderId="21" xfId="0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wrapText="1"/>
    </xf>
    <xf numFmtId="3" fontId="23" fillId="0" borderId="14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0" fillId="0" borderId="2" xfId="0" applyNumberFormat="1" applyFill="1" applyBorder="1"/>
    <xf numFmtId="3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0" fillId="0" borderId="2" xfId="0" applyNumberFormat="1" applyFill="1" applyBorder="1"/>
    <xf numFmtId="1" fontId="0" fillId="0" borderId="2" xfId="0" applyNumberFormat="1" applyBorder="1"/>
    <xf numFmtId="0" fontId="0" fillId="0" borderId="2" xfId="0" applyFont="1" applyFill="1" applyBorder="1"/>
    <xf numFmtId="0" fontId="0" fillId="0" borderId="2" xfId="0" applyFill="1" applyBorder="1"/>
    <xf numFmtId="0" fontId="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4" fillId="0" borderId="2" xfId="0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3" fillId="0" borderId="0" xfId="0" applyNumberFormat="1" applyFont="1"/>
    <xf numFmtId="10" fontId="0" fillId="0" borderId="0" xfId="0" applyNumberFormat="1"/>
    <xf numFmtId="2" fontId="0" fillId="0" borderId="0" xfId="1" applyNumberFormat="1" applyFont="1" applyFill="1"/>
    <xf numFmtId="2" fontId="0" fillId="0" borderId="0" xfId="0" applyNumberFormat="1"/>
  </cellXfs>
  <cellStyles count="2">
    <cellStyle name="Parasts" xfId="0" builtinId="0"/>
    <cellStyle name="Procenti" xfId="1" builtinId="5"/>
  </cellStyles>
  <dxfs count="12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/>
        <bottom/>
        <vertical/>
        <horizontal/>
      </border>
    </dxf>
    <dxf>
      <border>
        <horizontal/>
      </border>
    </dxf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6" defaultTableStyle="TableStyleMedium2" defaultPivotStyle="PivotStyleLight16">
    <tableStyle name="Izplāts rakursobjekta stils" table="0" count="3" xr9:uid="{00000000-0011-0000-FFFF-FFFF00000000}">
      <tableStyleElement type="headerRow" dxfId="11"/>
      <tableStyleElement type="totalRow" dxfId="10"/>
      <tableStyleElement type="secondRowStripe" dxfId="9"/>
    </tableStyle>
    <tableStyle name="Rakurstabulas stils 1" table="0" count="1" xr9:uid="{00000000-0011-0000-FFFF-FFFF01000000}">
      <tableStyleElement type="wholeTable" dxfId="8"/>
    </tableStyle>
    <tableStyle name="Rakurstabulas stils 2" table="0" count="1" xr9:uid="{00000000-0011-0000-FFFF-FFFF02000000}">
      <tableStyleElement type="wholeTable" dxfId="7"/>
    </tableStyle>
    <tableStyle name="Rakurstabulas stils 3" table="0" count="1" xr9:uid="{00000000-0011-0000-FFFF-FFFF03000000}">
      <tableStyleElement type="pageFieldValues" dxfId="6"/>
    </tableStyle>
    <tableStyle name="Rakurstabulas stils 4" table="0" count="1" xr9:uid="{00000000-0011-0000-FFFF-FFFF04000000}">
      <tableStyleElement type="pageFieldLabels" dxfId="5"/>
    </tableStyle>
    <tableStyle name="Rakurstabulas stils 5" table="0" count="1" xr9:uid="{00000000-0011-0000-FFFF-FFFF05000000}">
      <tableStyleElement type="wholeTabl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Ieņēmumu struktūra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C2-47F7-BD6D-0FBCBAB40B9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C2-47F7-BD6D-0FBCBAB40B9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C2-47F7-BD6D-0FBCBAB40B9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C2-47F7-BD6D-0FBCBAB40B9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FC2-47F7-BD6D-0FBCBAB40B9D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FC2-47F7-BD6D-0FBCBAB40B9D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FC2-47F7-BD6D-0FBCBAB40B9D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FC2-47F7-BD6D-0FBCBAB40B9D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FC2-47F7-BD6D-0FBCBAB40B9D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FC2-47F7-BD6D-0FBCBAB40B9D}"/>
              </c:ext>
            </c:extLst>
          </c:dPt>
          <c:dLbls>
            <c:dLbl>
              <c:idx val="1"/>
              <c:layout>
                <c:manualLayout>
                  <c:x val="0.13281848642534119"/>
                  <c:y val="2.96594795071793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1311506316604"/>
                      <c:h val="7.39062948171307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FC2-47F7-BD6D-0FBCBAB40B9D}"/>
                </c:ext>
              </c:extLst>
            </c:dLbl>
            <c:dLbl>
              <c:idx val="2"/>
              <c:layout>
                <c:manualLayout>
                  <c:x val="-0.14215368565222802"/>
                  <c:y val="3.2355911630994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C2-47F7-BD6D-0FBCBAB40B9D}"/>
                </c:ext>
              </c:extLst>
            </c:dLbl>
            <c:dLbl>
              <c:idx val="3"/>
              <c:layout>
                <c:manualLayout>
                  <c:x val="0.16099333073866767"/>
                  <c:y val="-3.2355911630995035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4934247346064"/>
                      <c:h val="4.69430351246350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FC2-47F7-BD6D-0FBCBAB40B9D}"/>
                </c:ext>
              </c:extLst>
            </c:dLbl>
            <c:dLbl>
              <c:idx val="4"/>
              <c:layout>
                <c:manualLayout>
                  <c:x val="0.10876301075060005"/>
                  <c:y val="-9.1482624726837866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856984302813109"/>
                      <c:h val="4.41870502894516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FC2-47F7-BD6D-0FBCBAB40B9D}"/>
                </c:ext>
              </c:extLst>
            </c:dLbl>
            <c:dLbl>
              <c:idx val="5"/>
              <c:layout>
                <c:manualLayout>
                  <c:x val="0.19524723089583118"/>
                  <c:y val="-0.17128089555306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C2-47F7-BD6D-0FBCBAB40B9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C2-47F7-BD6D-0FBCBAB40B9D}"/>
                </c:ext>
              </c:extLst>
            </c:dLbl>
            <c:dLbl>
              <c:idx val="9"/>
              <c:layout>
                <c:manualLayout>
                  <c:x val="0.17983297582510768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C2-47F7-BD6D-0FBCBAB40B9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Lapa1!$D$1:$D$10</c:f>
              <c:strCache>
                <c:ptCount val="10"/>
                <c:pt idx="0">
                  <c:v>Nodokļu ieņēmumi</c:v>
                </c:pt>
                <c:pt idx="1">
                  <c:v>Procentu ieņēmumi par kontu atlikumiem</c:v>
                </c:pt>
                <c:pt idx="2">
                  <c:v>Valsts (pašvaldību) un kancelejas nodevas</c:v>
                </c:pt>
                <c:pt idx="3">
                  <c:v>Naudas sodi un sankcijas</c:v>
                </c:pt>
                <c:pt idx="4">
                  <c:v>Pārējie nenodokļu ieņēmumi  </c:v>
                </c:pt>
                <c:pt idx="5">
                  <c:v>Ieņēmumi no pašvaldības īpašumu pārdošanas</c:v>
                </c:pt>
                <c:pt idx="6">
                  <c:v>No valsts budžeta daļēji finansētu atvasinātu publisku personu un budžeta nefinansētu iestāžu transferti</c:v>
                </c:pt>
                <c:pt idx="7">
                  <c:v>Valsts budžeta transferti</c:v>
                </c:pt>
                <c:pt idx="8">
                  <c:v>Pašvaldību budžeta transferti</c:v>
                </c:pt>
                <c:pt idx="9">
                  <c:v>Budžeta iestāžu ieņēmumi</c:v>
                </c:pt>
              </c:strCache>
            </c:strRef>
          </c:cat>
          <c:val>
            <c:numRef>
              <c:f>Lapa1!$E$1:$E$10</c:f>
              <c:numCache>
                <c:formatCode>General</c:formatCode>
                <c:ptCount val="10"/>
                <c:pt idx="0">
                  <c:v>15590525</c:v>
                </c:pt>
                <c:pt idx="1">
                  <c:v>2343</c:v>
                </c:pt>
                <c:pt idx="2">
                  <c:v>18284</c:v>
                </c:pt>
                <c:pt idx="3">
                  <c:v>2160</c:v>
                </c:pt>
                <c:pt idx="4">
                  <c:v>22522</c:v>
                </c:pt>
                <c:pt idx="5">
                  <c:v>114371</c:v>
                </c:pt>
                <c:pt idx="6">
                  <c:v>7760</c:v>
                </c:pt>
                <c:pt idx="7">
                  <c:v>17691092</c:v>
                </c:pt>
                <c:pt idx="8">
                  <c:v>1303900</c:v>
                </c:pt>
                <c:pt idx="9">
                  <c:v>1847890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6-4761-8A72-C356DD07337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Izdevumu struktūra valdības funkciju sadalījumā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explosion val="2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5C-4D05-952B-ED18380E74A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5C-4D05-952B-ED18380E74A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5C-4D05-952B-ED18380E74A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5C-4D05-952B-ED18380E74A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5C-4D05-952B-ED18380E74A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5C-4D05-952B-ED18380E74A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5C-4D05-952B-ED18380E74A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5C-4D05-952B-ED18380E74A5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5C-4D05-952B-ED18380E74A5}"/>
              </c:ext>
            </c:extLst>
          </c:dPt>
          <c:dLbls>
            <c:dLbl>
              <c:idx val="0"/>
              <c:layout>
                <c:manualLayout>
                  <c:x val="-3.2102728731942295E-2"/>
                  <c:y val="1.6666666666666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C-4D05-952B-ED18380E74A5}"/>
                </c:ext>
              </c:extLst>
            </c:dLbl>
            <c:dLbl>
              <c:idx val="1"/>
              <c:layout>
                <c:manualLayout>
                  <c:x val="0.13055109684323152"/>
                  <c:y val="-1.0437445319335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5C-4D05-952B-ED18380E74A5}"/>
                </c:ext>
              </c:extLst>
            </c:dLbl>
            <c:dLbl>
              <c:idx val="2"/>
              <c:layout>
                <c:manualLayout>
                  <c:x val="8.5607276618512571E-2"/>
                  <c:y val="6.33628608923884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5C-4D05-952B-ED18380E74A5}"/>
                </c:ext>
              </c:extLst>
            </c:dLbl>
            <c:dLbl>
              <c:idx val="3"/>
              <c:layout>
                <c:manualLayout>
                  <c:x val="9.8448368111289458E-2"/>
                  <c:y val="0.143420166229221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5C-4D05-952B-ED18380E74A5}"/>
                </c:ext>
              </c:extLst>
            </c:dLbl>
            <c:dLbl>
              <c:idx val="4"/>
              <c:layout>
                <c:manualLayout>
                  <c:x val="3.2102728731942212E-2"/>
                  <c:y val="0.1472222222222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5C-4D05-952B-ED18380E74A5}"/>
                </c:ext>
              </c:extLst>
            </c:dLbl>
            <c:dLbl>
              <c:idx val="5"/>
              <c:layout>
                <c:manualLayout>
                  <c:x val="0"/>
                  <c:y val="0.127777777777777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5C-4D05-952B-ED18380E74A5}"/>
                </c:ext>
              </c:extLst>
            </c:dLbl>
            <c:dLbl>
              <c:idx val="6"/>
              <c:layout>
                <c:manualLayout>
                  <c:x val="-1.7121455323702513E-2"/>
                  <c:y val="0.144444444444444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5C-4D05-952B-ED18380E74A5}"/>
                </c:ext>
              </c:extLst>
            </c:dLbl>
            <c:dLbl>
              <c:idx val="7"/>
              <c:layout>
                <c:manualLayout>
                  <c:x val="-4.0663456393793471E-2"/>
                  <c:y val="1.66666666666665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5C-4D05-952B-ED18380E74A5}"/>
                </c:ext>
              </c:extLst>
            </c:dLbl>
            <c:dLbl>
              <c:idx val="8"/>
              <c:layout>
                <c:manualLayout>
                  <c:x val="-1.9261637239165349E-2"/>
                  <c:y val="-2.546266881603998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5C-4D05-952B-ED18380E74A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Lapa1!$D$40:$D$48</c:f>
              <c:strCache>
                <c:ptCount val="9"/>
                <c:pt idx="0">
                  <c:v>Vispārējie valdības dienesti</c:v>
                </c:pt>
                <c:pt idx="1">
                  <c:v>Sabiedriskā kārtība un drošība</c:v>
                </c:pt>
                <c:pt idx="2">
                  <c:v>Ekonomiskā darbība</c:v>
                </c:pt>
                <c:pt idx="3">
                  <c:v>Vides aizsardzība</c:v>
                </c:pt>
                <c:pt idx="4">
                  <c:v>Teritoriju un mājokļu apsaimniekošana</c:v>
                </c:pt>
                <c:pt idx="5">
                  <c:v>Veselība</c:v>
                </c:pt>
                <c:pt idx="6">
                  <c:v>Atpūta, kultūra un reliģija</c:v>
                </c:pt>
                <c:pt idx="7">
                  <c:v>Izglītība</c:v>
                </c:pt>
                <c:pt idx="8">
                  <c:v>Sociālā aizsardzība</c:v>
                </c:pt>
              </c:strCache>
            </c:strRef>
          </c:cat>
          <c:val>
            <c:numRef>
              <c:f>Lapa1!$E$40:$E$48</c:f>
              <c:numCache>
                <c:formatCode>General</c:formatCode>
                <c:ptCount val="9"/>
                <c:pt idx="0">
                  <c:v>4063382</c:v>
                </c:pt>
                <c:pt idx="1">
                  <c:v>368</c:v>
                </c:pt>
                <c:pt idx="2">
                  <c:v>741370</c:v>
                </c:pt>
                <c:pt idx="3">
                  <c:v>49277</c:v>
                </c:pt>
                <c:pt idx="4">
                  <c:v>7240131</c:v>
                </c:pt>
                <c:pt idx="5">
                  <c:v>218414</c:v>
                </c:pt>
                <c:pt idx="6">
                  <c:v>5421247</c:v>
                </c:pt>
                <c:pt idx="7">
                  <c:v>19908972</c:v>
                </c:pt>
                <c:pt idx="8">
                  <c:v>6001874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85C-4D05-952B-ED18380E74A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Izdevumu struktūra </a:t>
            </a:r>
            <a:r>
              <a:rPr lang="lv-LV" sz="1800" b="1" i="0" u="none" strike="noStrike" baseline="0">
                <a:effectLst/>
              </a:rPr>
              <a:t>atbilstoši ekonomiskajām kategorijām</a:t>
            </a:r>
            <a:r>
              <a:rPr lang="lv-LV" baseline="0"/>
              <a:t> </a:t>
            </a:r>
            <a:endParaRPr lang="lv-LV"/>
          </a:p>
        </c:rich>
      </c:tx>
      <c:layout>
        <c:manualLayout>
          <c:xMode val="edge"/>
          <c:yMode val="edge"/>
          <c:x val="0.141766387481819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explosion val="2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02-4AFE-9C49-B6C1F605DB3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02-4AFE-9C49-B6C1F605DB3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02-4AFE-9C49-B6C1F605DB3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02-4AFE-9C49-B6C1F605DB3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02-4AFE-9C49-B6C1F605DB31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02-4AFE-9C49-B6C1F605DB31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02-4AFE-9C49-B6C1F605DB31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02-4AFE-9C49-B6C1F605DB31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02-4AFE-9C49-B6C1F605DB31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02-4AFE-9C49-B6C1F605DB31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602-4AFE-9C49-B6C1F605DB3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02-4AFE-9C49-B6C1F605DB31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602-4AFE-9C49-B6C1F605DB31}"/>
              </c:ext>
            </c:extLst>
          </c:dPt>
          <c:dLbls>
            <c:dLbl>
              <c:idx val="0"/>
              <c:layout>
                <c:manualLayout>
                  <c:x val="1.4482839326612712E-2"/>
                  <c:y val="1.2734279001641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2-4AFE-9C49-B6C1F605DB31}"/>
                </c:ext>
              </c:extLst>
            </c:dLbl>
            <c:dLbl>
              <c:idx val="1"/>
              <c:layout>
                <c:manualLayout>
                  <c:x val="8.5346092166528831E-2"/>
                  <c:y val="-1.6855861767279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2-4AFE-9C49-B6C1F605DB31}"/>
                </c:ext>
              </c:extLst>
            </c:dLbl>
            <c:dLbl>
              <c:idx val="2"/>
              <c:layout>
                <c:manualLayout>
                  <c:x val="-0.24162970393032082"/>
                  <c:y val="-4.8708799040587676E-4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617590317133919"/>
                      <c:h val="5.24220708366510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02-4AFE-9C49-B6C1F605DB31}"/>
                </c:ext>
              </c:extLst>
            </c:dLbl>
            <c:dLbl>
              <c:idx val="3"/>
              <c:layout>
                <c:manualLayout>
                  <c:x val="-5.6219736864102178E-2"/>
                  <c:y val="-4.24524462532071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2-4AFE-9C49-B6C1F605DB31}"/>
                </c:ext>
              </c:extLst>
            </c:dLbl>
            <c:dLbl>
              <c:idx val="4"/>
              <c:layout>
                <c:manualLayout>
                  <c:x val="-1.0966313924135284E-2"/>
                  <c:y val="1.4980192082731231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00657003861776"/>
                      <c:h val="0.212405359442429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602-4AFE-9C49-B6C1F605DB31}"/>
                </c:ext>
              </c:extLst>
            </c:dLbl>
            <c:dLbl>
              <c:idx val="5"/>
              <c:layout>
                <c:manualLayout>
                  <c:x val="-9.5413678385743196E-3"/>
                  <c:y val="-1.4972917711128802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80301586505508"/>
                      <c:h val="3.14683417381816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602-4AFE-9C49-B6C1F605DB31}"/>
                </c:ext>
              </c:extLst>
            </c:dLbl>
            <c:dLbl>
              <c:idx val="6"/>
              <c:layout>
                <c:manualLayout>
                  <c:x val="-4.9505578011526302E-2"/>
                  <c:y val="-7.0434732175332013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4760084925690019E-2"/>
                      <c:h val="3.04745052935798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602-4AFE-9C49-B6C1F605DB31}"/>
                </c:ext>
              </c:extLst>
            </c:dLbl>
            <c:dLbl>
              <c:idx val="7"/>
              <c:layout>
                <c:manualLayout>
                  <c:x val="-3.9467802094447536E-2"/>
                  <c:y val="-0.11794072615923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02-4AFE-9C49-B6C1F605DB31}"/>
                </c:ext>
              </c:extLst>
            </c:dLbl>
            <c:dLbl>
              <c:idx val="8"/>
              <c:layout>
                <c:manualLayout>
                  <c:x val="2.5642877442867413E-3"/>
                  <c:y val="-0.16093701770424768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79261748332411"/>
                      <c:h val="3.6188819094242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602-4AFE-9C49-B6C1F605DB31}"/>
                </c:ext>
              </c:extLst>
            </c:dLbl>
            <c:dLbl>
              <c:idx val="9"/>
              <c:layout>
                <c:manualLayout>
                  <c:x val="-1.7196716652456666E-2"/>
                  <c:y val="2.387370118061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02-4AFE-9C49-B6C1F605DB31}"/>
                </c:ext>
              </c:extLst>
            </c:dLbl>
            <c:dLbl>
              <c:idx val="10"/>
              <c:layout>
                <c:manualLayout>
                  <c:x val="-8.0276978116588932E-2"/>
                  <c:y val="8.0387507741307623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45017302773457"/>
                      <c:h val="0.13540574282147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8602-4AFE-9C49-B6C1F605DB31}"/>
                </c:ext>
              </c:extLst>
            </c:dLbl>
            <c:dLbl>
              <c:idx val="11"/>
              <c:layout>
                <c:manualLayout>
                  <c:x val="5.5584064730762155E-2"/>
                  <c:y val="-4.62846638552203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02-4AFE-9C49-B6C1F605DB31}"/>
                </c:ext>
              </c:extLst>
            </c:dLbl>
            <c:dLbl>
              <c:idx val="12"/>
              <c:layout>
                <c:manualLayout>
                  <c:x val="0.29640028754367476"/>
                  <c:y val="4.850777079831313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642349164953106"/>
                      <c:h val="8.00556391125266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602-4AFE-9C49-B6C1F605DB3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Lapa1!$D$58:$D$70</c:f>
              <c:strCache>
                <c:ptCount val="13"/>
                <c:pt idx="0">
                  <c:v>Atalgojums</c:v>
                </c:pt>
                <c:pt idx="1">
                  <c:v>DD VSAOI</c:v>
                </c:pt>
                <c:pt idx="2">
                  <c:v>Mācību, darba un dienseta komandējumi</c:v>
                </c:pt>
                <c:pt idx="3">
                  <c:v>Pakalpojumi</c:v>
                </c:pt>
                <c:pt idx="4">
                  <c:v>Krājumi, materiāli, energoresursi, preces, biroja preces in inventārs, kurus neuzsakite kodā 5000</c:v>
                </c:pt>
                <c:pt idx="5">
                  <c:v>Periodikas iegāde</c:v>
                </c:pt>
                <c:pt idx="6">
                  <c:v>Nodokļi</c:v>
                </c:pt>
                <c:pt idx="7">
                  <c:v>Subsīdijas un dotācijas</c:v>
                </c:pt>
                <c:pt idx="8">
                  <c:v>Procentu maksājumi</c:v>
                </c:pt>
                <c:pt idx="9">
                  <c:v>Nemateriālie ieguldījumi, pamatlīdzekļi</c:v>
                </c:pt>
                <c:pt idx="10">
                  <c:v>Izdevumi par kapitāla daļu pārdošanu un pārvērtēšanu, vērtspapīru tirdzniecību un pārvērtēšanu un kapitāla daļu iegādi</c:v>
                </c:pt>
                <c:pt idx="11">
                  <c:v>Pabalsti, dotācijas</c:v>
                </c:pt>
                <c:pt idx="12">
                  <c:v>Pašvaldību transferti un uzturēšanas izdevumu transferti</c:v>
                </c:pt>
              </c:strCache>
            </c:strRef>
          </c:cat>
          <c:val>
            <c:numRef>
              <c:f>Lapa1!$E$58:$E$70</c:f>
              <c:numCache>
                <c:formatCode>General</c:formatCode>
                <c:ptCount val="13"/>
                <c:pt idx="0">
                  <c:v>17334098</c:v>
                </c:pt>
                <c:pt idx="1">
                  <c:v>4565837</c:v>
                </c:pt>
                <c:pt idx="2">
                  <c:v>43997</c:v>
                </c:pt>
                <c:pt idx="3">
                  <c:v>6895693</c:v>
                </c:pt>
                <c:pt idx="4">
                  <c:v>3692019</c:v>
                </c:pt>
                <c:pt idx="5">
                  <c:v>22275</c:v>
                </c:pt>
                <c:pt idx="6">
                  <c:v>60517</c:v>
                </c:pt>
                <c:pt idx="7">
                  <c:v>370065</c:v>
                </c:pt>
                <c:pt idx="8">
                  <c:v>64440</c:v>
                </c:pt>
                <c:pt idx="9">
                  <c:v>7844464</c:v>
                </c:pt>
                <c:pt idx="10">
                  <c:v>37600</c:v>
                </c:pt>
                <c:pt idx="11">
                  <c:v>1836627</c:v>
                </c:pt>
                <c:pt idx="12">
                  <c:v>877403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602-4AFE-9C49-B6C1F605DB3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42861</xdr:colOff>
      <xdr:row>11</xdr:row>
      <xdr:rowOff>90486</xdr:rowOff>
    </xdr:from>
    <xdr:to>
      <xdr:col>19</xdr:col>
      <xdr:colOff>142875</xdr:colOff>
      <xdr:row>36</xdr:row>
      <xdr:rowOff>38099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61E35D9F-63E5-41F6-9E2A-60557B0DE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400049</xdr:colOff>
      <xdr:row>37</xdr:row>
      <xdr:rowOff>95250</xdr:rowOff>
    </xdr:from>
    <xdr:to>
      <xdr:col>16</xdr:col>
      <xdr:colOff>504825</xdr:colOff>
      <xdr:row>61</xdr:row>
      <xdr:rowOff>95250</xdr:rowOff>
    </xdr:to>
    <xdr:graphicFrame macro="">
      <xdr:nvGraphicFramePr>
        <xdr:cNvPr id="5" name="Diagramma 4">
          <a:extLst>
            <a:ext uri="{FF2B5EF4-FFF2-40B4-BE49-F238E27FC236}">
              <a16:creationId xmlns:a16="http://schemas.microsoft.com/office/drawing/2014/main" id="{A44C0134-39D6-4386-B586-593430625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28574</xdr:colOff>
      <xdr:row>61</xdr:row>
      <xdr:rowOff>133350</xdr:rowOff>
    </xdr:from>
    <xdr:to>
      <xdr:col>22</xdr:col>
      <xdr:colOff>190499</xdr:colOff>
      <xdr:row>88</xdr:row>
      <xdr:rowOff>76200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2807DB8-B44F-427A-94E2-FDBB2A5D4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a3" displayName="Tabula3" ref="A1:B42" totalsRowCount="1">
  <autoFilter ref="A1:B41" xr:uid="{00000000-0009-0000-0100-000003000000}"/>
  <tableColumns count="2">
    <tableColumn id="1" xr3:uid="{00000000-0010-0000-0000-000001000000}" name="Valdības funkcijas kods" dataDxfId="3" totalsRowDxfId="2"/>
    <tableColumn id="2" xr3:uid="{00000000-0010-0000-0000-000002000000}" name="Summa: Tāmes#Summa" totalsRowFunction="s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ula4" displayName="Tabula4" ref="A1:B83" totalsRowCount="1">
  <autoFilter ref="A1:B82" xr:uid="{00000000-0009-0000-0100-000004000000}"/>
  <tableColumns count="2">
    <tableColumn id="1" xr3:uid="{00000000-0010-0000-0100-000001000000}" name="Valdības funkcijas kods" dataDxfId="1" totalsRowDxfId="0"/>
    <tableColumn id="2" xr3:uid="{00000000-0010-0000-0100-000002000000}" name="Summa: Tāmes#Summa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ula2" displayName="Tabula2" ref="A1:B48" totalsRowCount="1">
  <autoFilter ref="A1:B47" xr:uid="{00000000-0009-0000-0100-000002000000}"/>
  <tableColumns count="2">
    <tableColumn id="1" xr3:uid="{00000000-0010-0000-0200-000001000000}" name="Valdības funkcijas kods"/>
    <tableColumn id="2" xr3:uid="{00000000-0010-0000-0200-000002000000}" name="Summa: Tāmes#Summa" totalsRowFunction="su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ula1" displayName="Tabula1" ref="A1:B39" totalsRowShown="0">
  <autoFilter ref="A1:B39" xr:uid="{00000000-0009-0000-0100-000001000000}"/>
  <tableColumns count="2">
    <tableColumn id="1" xr3:uid="{00000000-0010-0000-0300-000001000000}" name="Valdības funkcijas kods"/>
    <tableColumn id="2" xr3:uid="{00000000-0010-0000-0300-000002000000}" name="Summa: Tāmes#Su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X106"/>
  <sheetViews>
    <sheetView tabSelected="1" view="pageBreakPreview" zoomScaleNormal="100" zoomScaleSheetLayoutView="100" workbookViewId="0">
      <pane ySplit="7" topLeftCell="A8" activePane="bottomLeft" state="frozen"/>
      <selection pane="bottomLeft" activeCell="H5" sqref="H5"/>
    </sheetView>
  </sheetViews>
  <sheetFormatPr defaultRowHeight="15" outlineLevelRow="1" outlineLevelCol="1" x14ac:dyDescent="0.25"/>
  <cols>
    <col min="1" max="1" width="16.42578125" style="36" customWidth="1"/>
    <col min="2" max="3" width="6" style="36" hidden="1" customWidth="1" outlineLevel="1"/>
    <col min="4" max="4" width="54" style="36" customWidth="1" collapsed="1"/>
    <col min="5" max="5" width="21.28515625" style="127" customWidth="1"/>
    <col min="6" max="6" width="13.28515625" style="36" hidden="1" customWidth="1"/>
    <col min="7" max="8" width="15.7109375" style="36" customWidth="1"/>
    <col min="9" max="9" width="15.42578125" style="36" customWidth="1"/>
    <col min="10" max="10" width="14.42578125" style="36" customWidth="1"/>
    <col min="11" max="11" width="10.140625" style="36" hidden="1" customWidth="1"/>
    <col min="12" max="12" width="10.5703125" style="36" hidden="1" customWidth="1"/>
    <col min="13" max="13" width="17.28515625" style="36" hidden="1" customWidth="1"/>
    <col min="14" max="14" width="9.140625" style="36" hidden="1" customWidth="1"/>
    <col min="15" max="15" width="9.140625" style="36" customWidth="1"/>
    <col min="16" max="16" width="16" style="36" customWidth="1"/>
    <col min="17" max="18" width="9.140625" style="36" customWidth="1"/>
    <col min="19" max="19" width="11.5703125" style="36" customWidth="1"/>
    <col min="20" max="16384" width="9.140625" style="36"/>
  </cols>
  <sheetData>
    <row r="1" spans="1:16" x14ac:dyDescent="0.25">
      <c r="A1" s="1"/>
      <c r="B1" s="1"/>
      <c r="C1" s="1"/>
      <c r="D1" s="1"/>
      <c r="E1" s="2"/>
      <c r="F1" s="2"/>
      <c r="G1" s="2"/>
      <c r="H1" s="92"/>
      <c r="I1" s="92"/>
      <c r="J1" s="92" t="s">
        <v>0</v>
      </c>
    </row>
    <row r="2" spans="1:16" x14ac:dyDescent="0.25">
      <c r="A2" s="2"/>
      <c r="B2" s="2"/>
      <c r="C2" s="2"/>
      <c r="D2" s="2"/>
      <c r="E2" s="2"/>
      <c r="F2" s="2"/>
      <c r="G2" s="2"/>
      <c r="H2" s="92"/>
      <c r="I2" s="92"/>
      <c r="J2" s="92" t="s">
        <v>1</v>
      </c>
    </row>
    <row r="3" spans="1:16" x14ac:dyDescent="0.25">
      <c r="A3" s="1"/>
      <c r="B3" s="1"/>
      <c r="C3" s="1"/>
      <c r="D3" s="1"/>
      <c r="E3" s="2"/>
      <c r="F3" s="2"/>
      <c r="G3" s="2"/>
      <c r="H3" s="92"/>
      <c r="I3" s="93"/>
      <c r="J3" s="92" t="s">
        <v>256</v>
      </c>
    </row>
    <row r="4" spans="1:16" x14ac:dyDescent="0.25">
      <c r="A4" s="1"/>
      <c r="B4" s="1"/>
      <c r="C4" s="1"/>
      <c r="D4" s="1"/>
      <c r="E4" s="2"/>
      <c r="F4" s="2"/>
      <c r="G4" s="2"/>
      <c r="H4" s="92"/>
      <c r="I4" s="93"/>
      <c r="J4" s="92" t="s">
        <v>257</v>
      </c>
    </row>
    <row r="5" spans="1:16" x14ac:dyDescent="0.25">
      <c r="A5" s="3"/>
      <c r="B5" s="3"/>
      <c r="C5" s="3"/>
      <c r="D5" s="4"/>
      <c r="E5" s="4"/>
    </row>
    <row r="6" spans="1:16" ht="16.5" thickBot="1" x14ac:dyDescent="0.3">
      <c r="A6" s="3"/>
      <c r="B6" s="3"/>
      <c r="C6" s="3"/>
      <c r="D6" s="62" t="s">
        <v>170</v>
      </c>
      <c r="E6" s="126"/>
    </row>
    <row r="7" spans="1:16" ht="45.75" thickBot="1" x14ac:dyDescent="0.3">
      <c r="A7" s="107" t="s">
        <v>2</v>
      </c>
      <c r="B7" s="112"/>
      <c r="C7" s="112"/>
      <c r="D7" s="113" t="s">
        <v>3</v>
      </c>
      <c r="E7" s="156" t="s">
        <v>231</v>
      </c>
      <c r="F7" s="106" t="s">
        <v>225</v>
      </c>
      <c r="G7" s="107" t="s">
        <v>226</v>
      </c>
      <c r="H7" s="108" t="s">
        <v>171</v>
      </c>
      <c r="I7" s="108" t="s">
        <v>172</v>
      </c>
      <c r="J7" s="186" t="s">
        <v>173</v>
      </c>
      <c r="K7" s="171" t="s">
        <v>230</v>
      </c>
    </row>
    <row r="8" spans="1:16" x14ac:dyDescent="0.25">
      <c r="A8" s="109"/>
      <c r="B8" s="110"/>
      <c r="C8" s="111"/>
      <c r="D8" s="114" t="s">
        <v>228</v>
      </c>
      <c r="E8" s="157">
        <f>F8-K8</f>
        <v>46043363</v>
      </c>
      <c r="F8" s="138">
        <f>F10+F9</f>
        <v>49335974</v>
      </c>
      <c r="G8" s="104">
        <f t="shared" ref="G8:K8" si="0">G10+G9</f>
        <v>36655604</v>
      </c>
      <c r="H8" s="105">
        <f t="shared" si="0"/>
        <v>3501905</v>
      </c>
      <c r="I8" s="105">
        <f>I10+I9</f>
        <v>4841447</v>
      </c>
      <c r="J8" s="187">
        <f t="shared" si="0"/>
        <v>4337018</v>
      </c>
      <c r="K8" s="172">
        <f t="shared" si="0"/>
        <v>3292611</v>
      </c>
    </row>
    <row r="9" spans="1:16" ht="15.75" x14ac:dyDescent="0.25">
      <c r="A9" s="130"/>
      <c r="B9" s="131"/>
      <c r="C9" s="132"/>
      <c r="D9" s="133" t="s">
        <v>227</v>
      </c>
      <c r="E9" s="158">
        <f t="shared" ref="E9:E63" si="1">F9-K9</f>
        <v>9442516</v>
      </c>
      <c r="F9" s="139">
        <f>G9+H9+I9+J9+K9</f>
        <v>9442516</v>
      </c>
      <c r="G9" s="98">
        <v>6519718</v>
      </c>
      <c r="H9" s="98">
        <v>754518</v>
      </c>
      <c r="I9" s="98">
        <v>1057019</v>
      </c>
      <c r="J9" s="98">
        <v>1111261</v>
      </c>
      <c r="K9" s="173">
        <v>0</v>
      </c>
    </row>
    <row r="10" spans="1:16" ht="15.75" x14ac:dyDescent="0.25">
      <c r="A10" s="130"/>
      <c r="B10" s="131"/>
      <c r="C10" s="132"/>
      <c r="D10" s="152" t="s">
        <v>4</v>
      </c>
      <c r="E10" s="158">
        <f>E11+E16+E17+E18+E19+E20+E21+E22+E26+E29</f>
        <v>36600847</v>
      </c>
      <c r="F10" s="139">
        <f>F11+F16+F17+F18+F19+F20+F21+F22+F26+F29</f>
        <v>39893458</v>
      </c>
      <c r="G10" s="76">
        <f>G11+G16+G17+G18+G19+G20+G21+G22+G26+G29</f>
        <v>30135886</v>
      </c>
      <c r="H10" s="54">
        <f>H11+H16+H17+H18+H19+H20+H21+H22+H26+H29</f>
        <v>2747387</v>
      </c>
      <c r="I10" s="54">
        <f>I11+I16+I17+I18+I19+I20+I21+I22+I26+I29</f>
        <v>3784428</v>
      </c>
      <c r="J10" s="189">
        <f t="shared" ref="J10:K10" si="2">J11+J16+J17+J18+J19+J20+J21+J22+J26+J29</f>
        <v>3225757</v>
      </c>
      <c r="K10" s="207">
        <f t="shared" si="2"/>
        <v>3292611</v>
      </c>
      <c r="L10" s="19"/>
      <c r="M10" s="20"/>
      <c r="N10" s="20"/>
      <c r="O10" s="20"/>
    </row>
    <row r="11" spans="1:16" x14ac:dyDescent="0.25">
      <c r="A11" s="63"/>
      <c r="B11" s="16"/>
      <c r="C11" s="12"/>
      <c r="D11" s="115" t="s">
        <v>5</v>
      </c>
      <c r="E11" s="159">
        <f>SUM(E12:E15)</f>
        <v>15590525</v>
      </c>
      <c r="F11" s="140">
        <f>SUM(F12:F15)</f>
        <v>15590525</v>
      </c>
      <c r="G11" s="78">
        <f t="shared" ref="G11:K11" si="3">SUM(G12:G15)</f>
        <v>13625794</v>
      </c>
      <c r="H11" s="47">
        <f t="shared" si="3"/>
        <v>592929</v>
      </c>
      <c r="I11" s="47">
        <f>SUM(I12:I15)</f>
        <v>732595</v>
      </c>
      <c r="J11" s="190">
        <f t="shared" si="3"/>
        <v>639207</v>
      </c>
      <c r="K11" s="174">
        <f t="shared" si="3"/>
        <v>1802303</v>
      </c>
      <c r="L11" s="21"/>
      <c r="M11" s="20"/>
      <c r="N11" s="20"/>
      <c r="O11" s="20"/>
    </row>
    <row r="12" spans="1:16" x14ac:dyDescent="0.25">
      <c r="A12" s="64" t="s">
        <v>6</v>
      </c>
      <c r="B12" s="8"/>
      <c r="C12" s="8"/>
      <c r="D12" s="116" t="s">
        <v>7</v>
      </c>
      <c r="E12" s="160">
        <f>F12</f>
        <v>13884868</v>
      </c>
      <c r="F12" s="141">
        <f>G12+H12+I12+J12</f>
        <v>13884868</v>
      </c>
      <c r="G12" s="79">
        <f>12375587</f>
        <v>12375587</v>
      </c>
      <c r="H12" s="57">
        <v>475041</v>
      </c>
      <c r="I12" s="31">
        <v>537035</v>
      </c>
      <c r="J12" s="191">
        <v>497205</v>
      </c>
      <c r="K12" s="175">
        <f>660320+583599+558384</f>
        <v>1802303</v>
      </c>
      <c r="L12" s="20"/>
      <c r="M12" s="210">
        <v>13841390</v>
      </c>
      <c r="N12" s="20"/>
      <c r="O12" s="20"/>
      <c r="P12" s="211"/>
    </row>
    <row r="13" spans="1:16" x14ac:dyDescent="0.25">
      <c r="A13" s="65" t="s">
        <v>8</v>
      </c>
      <c r="B13" s="11"/>
      <c r="C13" s="8"/>
      <c r="D13" s="116" t="s">
        <v>10</v>
      </c>
      <c r="E13" s="160">
        <f t="shared" ref="E13:E27" si="4">F13</f>
        <v>1669657</v>
      </c>
      <c r="F13" s="141">
        <f t="shared" ref="F13:F15" si="5">G13+H13+I13+J13</f>
        <v>1669657</v>
      </c>
      <c r="G13" s="79">
        <v>1230207</v>
      </c>
      <c r="H13" s="57">
        <v>111888</v>
      </c>
      <c r="I13" s="30">
        <v>190060</v>
      </c>
      <c r="J13" s="191">
        <v>137502</v>
      </c>
      <c r="K13" s="175">
        <v>0</v>
      </c>
      <c r="L13" s="20"/>
      <c r="M13" s="20"/>
      <c r="N13" s="20"/>
      <c r="O13" s="20"/>
    </row>
    <row r="14" spans="1:16" x14ac:dyDescent="0.25">
      <c r="A14" s="65" t="s">
        <v>11</v>
      </c>
      <c r="B14" s="11"/>
      <c r="C14" s="8"/>
      <c r="D14" s="116" t="s">
        <v>12</v>
      </c>
      <c r="E14" s="160">
        <f t="shared" si="4"/>
        <v>20000</v>
      </c>
      <c r="F14" s="141">
        <f t="shared" si="5"/>
        <v>20000</v>
      </c>
      <c r="G14" s="79">
        <v>20000</v>
      </c>
      <c r="H14" s="57">
        <v>0</v>
      </c>
      <c r="I14" s="30">
        <v>0</v>
      </c>
      <c r="J14" s="191">
        <v>0</v>
      </c>
      <c r="K14" s="175">
        <v>0</v>
      </c>
      <c r="L14" s="20"/>
      <c r="M14" s="20"/>
      <c r="N14" s="20"/>
      <c r="O14" s="20"/>
    </row>
    <row r="15" spans="1:16" x14ac:dyDescent="0.25">
      <c r="A15" s="66" t="s">
        <v>168</v>
      </c>
      <c r="B15" s="11"/>
      <c r="C15" s="8"/>
      <c r="D15" s="116" t="s">
        <v>169</v>
      </c>
      <c r="E15" s="160">
        <f t="shared" si="4"/>
        <v>16000</v>
      </c>
      <c r="F15" s="141">
        <f t="shared" si="5"/>
        <v>16000</v>
      </c>
      <c r="G15" s="79">
        <v>0</v>
      </c>
      <c r="H15" s="57">
        <v>6000</v>
      </c>
      <c r="I15" s="30">
        <v>5500</v>
      </c>
      <c r="J15" s="191">
        <v>4500</v>
      </c>
      <c r="K15" s="175">
        <v>0</v>
      </c>
      <c r="L15" s="20"/>
      <c r="M15" s="20"/>
      <c r="N15" s="20"/>
      <c r="O15" s="20"/>
    </row>
    <row r="16" spans="1:16" x14ac:dyDescent="0.25">
      <c r="A16" s="67" t="s">
        <v>13</v>
      </c>
      <c r="B16" s="11"/>
      <c r="C16" s="8"/>
      <c r="D16" s="117" t="s">
        <v>15</v>
      </c>
      <c r="E16" s="159">
        <f>F16</f>
        <v>2343</v>
      </c>
      <c r="F16" s="140">
        <f>G16+H16+I16+J16</f>
        <v>2343</v>
      </c>
      <c r="G16" s="80">
        <v>2331</v>
      </c>
      <c r="H16" s="49">
        <v>0</v>
      </c>
      <c r="I16" s="48">
        <v>0</v>
      </c>
      <c r="J16" s="192">
        <v>12</v>
      </c>
      <c r="K16" s="176">
        <v>0</v>
      </c>
      <c r="L16" s="20"/>
      <c r="M16" s="20"/>
      <c r="N16" s="20"/>
      <c r="O16" s="20"/>
    </row>
    <row r="17" spans="1:14" x14ac:dyDescent="0.25">
      <c r="A17" s="68" t="s">
        <v>16</v>
      </c>
      <c r="B17" s="11"/>
      <c r="C17" s="8"/>
      <c r="D17" s="118" t="s">
        <v>18</v>
      </c>
      <c r="E17" s="159">
        <f t="shared" ref="E17:E21" si="6">F17</f>
        <v>18284</v>
      </c>
      <c r="F17" s="140">
        <f t="shared" ref="F17:F21" si="7">G17+H17+I17+J17</f>
        <v>18284</v>
      </c>
      <c r="G17" s="80">
        <f>9195+5060</f>
        <v>14255</v>
      </c>
      <c r="H17" s="49">
        <f>256+1613</f>
        <v>1869</v>
      </c>
      <c r="I17" s="48">
        <v>1090</v>
      </c>
      <c r="J17" s="192">
        <v>1070</v>
      </c>
      <c r="K17" s="176">
        <v>0</v>
      </c>
    </row>
    <row r="18" spans="1:14" x14ac:dyDescent="0.25">
      <c r="A18" s="68" t="s">
        <v>19</v>
      </c>
      <c r="B18" s="8"/>
      <c r="C18" s="12"/>
      <c r="D18" s="118" t="s">
        <v>20</v>
      </c>
      <c r="E18" s="159">
        <f t="shared" si="6"/>
        <v>2160</v>
      </c>
      <c r="F18" s="140">
        <f t="shared" si="7"/>
        <v>2160</v>
      </c>
      <c r="G18" s="81">
        <v>2000</v>
      </c>
      <c r="H18" s="58">
        <v>0</v>
      </c>
      <c r="I18" s="46">
        <v>50</v>
      </c>
      <c r="J18" s="193">
        <v>110</v>
      </c>
      <c r="K18" s="176">
        <v>0</v>
      </c>
    </row>
    <row r="19" spans="1:14" x14ac:dyDescent="0.25">
      <c r="A19" s="68" t="s">
        <v>21</v>
      </c>
      <c r="B19" s="8"/>
      <c r="C19" s="12"/>
      <c r="D19" s="118" t="s">
        <v>22</v>
      </c>
      <c r="E19" s="159">
        <f t="shared" si="6"/>
        <v>22522</v>
      </c>
      <c r="F19" s="140">
        <f t="shared" si="7"/>
        <v>22522</v>
      </c>
      <c r="G19" s="81">
        <v>13655</v>
      </c>
      <c r="H19" s="58">
        <v>850</v>
      </c>
      <c r="I19" s="46">
        <v>150</v>
      </c>
      <c r="J19" s="193">
        <v>7867</v>
      </c>
      <c r="K19" s="176">
        <v>0</v>
      </c>
    </row>
    <row r="20" spans="1:14" x14ac:dyDescent="0.25">
      <c r="A20" s="63" t="s">
        <v>23</v>
      </c>
      <c r="B20" s="8"/>
      <c r="C20" s="12"/>
      <c r="D20" s="118" t="s">
        <v>24</v>
      </c>
      <c r="E20" s="159">
        <f t="shared" si="6"/>
        <v>114371</v>
      </c>
      <c r="F20" s="140">
        <f t="shared" si="7"/>
        <v>114371</v>
      </c>
      <c r="G20" s="81">
        <v>0</v>
      </c>
      <c r="H20" s="58">
        <v>55190</v>
      </c>
      <c r="I20" s="46">
        <v>0</v>
      </c>
      <c r="J20" s="193">
        <v>59181</v>
      </c>
      <c r="K20" s="176">
        <v>0</v>
      </c>
    </row>
    <row r="21" spans="1:14" ht="30" x14ac:dyDescent="0.25">
      <c r="A21" s="63" t="s">
        <v>218</v>
      </c>
      <c r="B21" s="11"/>
      <c r="C21" s="12"/>
      <c r="D21" s="118" t="s">
        <v>219</v>
      </c>
      <c r="E21" s="159">
        <f t="shared" si="6"/>
        <v>7760</v>
      </c>
      <c r="F21" s="140">
        <f t="shared" si="7"/>
        <v>7760</v>
      </c>
      <c r="G21" s="81">
        <v>0</v>
      </c>
      <c r="H21" s="58">
        <v>7760</v>
      </c>
      <c r="I21" s="46">
        <v>0</v>
      </c>
      <c r="J21" s="193">
        <v>0</v>
      </c>
      <c r="K21" s="176">
        <v>0</v>
      </c>
    </row>
    <row r="22" spans="1:14" x14ac:dyDescent="0.25">
      <c r="A22" s="63" t="s">
        <v>25</v>
      </c>
      <c r="B22" s="16"/>
      <c r="C22" s="12"/>
      <c r="D22" s="118" t="s">
        <v>26</v>
      </c>
      <c r="E22" s="159">
        <f>SUM(E23:E25)</f>
        <v>17691092</v>
      </c>
      <c r="F22" s="140">
        <f>SUM(F23:F25)</f>
        <v>17691092</v>
      </c>
      <c r="G22" s="82">
        <f>SUM(G23:G25)</f>
        <v>15104262</v>
      </c>
      <c r="H22" s="51">
        <f>SUM(H23:H25)</f>
        <v>783765</v>
      </c>
      <c r="I22" s="51">
        <f t="shared" ref="I22:K22" si="8">SUM(I23:I25)</f>
        <v>965785</v>
      </c>
      <c r="J22" s="194">
        <f t="shared" si="8"/>
        <v>837280</v>
      </c>
      <c r="K22" s="177">
        <f t="shared" si="8"/>
        <v>1490308</v>
      </c>
      <c r="M22" s="185">
        <f>F22/$E$10</f>
        <v>0.48335198363032417</v>
      </c>
    </row>
    <row r="23" spans="1:14" ht="30" x14ac:dyDescent="0.25">
      <c r="A23" s="64" t="s">
        <v>27</v>
      </c>
      <c r="B23" s="11"/>
      <c r="C23" s="8"/>
      <c r="D23" s="153" t="s">
        <v>28</v>
      </c>
      <c r="E23" s="161">
        <f t="shared" si="4"/>
        <v>8397058</v>
      </c>
      <c r="F23" s="142">
        <f>G23+H23+I23+J23</f>
        <v>8397058</v>
      </c>
      <c r="G23" s="83">
        <f>7361085</f>
        <v>7361085</v>
      </c>
      <c r="H23" s="59">
        <v>329782</v>
      </c>
      <c r="I23" s="32">
        <v>400511</v>
      </c>
      <c r="J23" s="195">
        <v>305680</v>
      </c>
      <c r="K23" s="175">
        <f>423527+315428+339834</f>
        <v>1078789</v>
      </c>
      <c r="M23" s="185">
        <f t="shared" ref="M23:M25" si="9">F23/$E$10</f>
        <v>0.22942250489449056</v>
      </c>
    </row>
    <row r="24" spans="1:14" ht="60" x14ac:dyDescent="0.25">
      <c r="A24" s="64" t="s">
        <v>174</v>
      </c>
      <c r="B24" s="11"/>
      <c r="C24" s="8"/>
      <c r="D24" s="33" t="s">
        <v>175</v>
      </c>
      <c r="E24" s="161">
        <f t="shared" si="4"/>
        <v>1641061</v>
      </c>
      <c r="F24" s="142">
        <f>G24+H24+I24+J24</f>
        <v>1641061</v>
      </c>
      <c r="G24" s="83">
        <f>1514962</f>
        <v>1514962</v>
      </c>
      <c r="H24" s="59">
        <v>35219</v>
      </c>
      <c r="I24" s="32">
        <v>88447</v>
      </c>
      <c r="J24" s="195">
        <v>2433</v>
      </c>
      <c r="K24" s="175">
        <f>64531+21371+41466</f>
        <v>127368</v>
      </c>
      <c r="M24" s="185">
        <f t="shared" si="9"/>
        <v>4.4836694626219989E-2</v>
      </c>
    </row>
    <row r="25" spans="1:14" ht="30" x14ac:dyDescent="0.25">
      <c r="A25" s="64" t="s">
        <v>29</v>
      </c>
      <c r="B25" s="11"/>
      <c r="C25" s="8"/>
      <c r="D25" s="69" t="s">
        <v>30</v>
      </c>
      <c r="E25" s="161">
        <f t="shared" si="4"/>
        <v>7652973</v>
      </c>
      <c r="F25" s="142">
        <f>G25+H25+I25+J25</f>
        <v>7652973</v>
      </c>
      <c r="G25" s="84">
        <f>6228215</f>
        <v>6228215</v>
      </c>
      <c r="H25" s="60">
        <v>418764</v>
      </c>
      <c r="I25" s="26">
        <v>476827</v>
      </c>
      <c r="J25" s="196">
        <v>529167</v>
      </c>
      <c r="K25" s="175">
        <f>102975+99919+81257</f>
        <v>284151</v>
      </c>
      <c r="M25" s="185">
        <f t="shared" si="9"/>
        <v>0.20909278410961363</v>
      </c>
    </row>
    <row r="26" spans="1:14" x14ac:dyDescent="0.25">
      <c r="A26" s="63" t="s">
        <v>31</v>
      </c>
      <c r="B26" s="11"/>
      <c r="C26" s="8"/>
      <c r="D26" s="115" t="s">
        <v>32</v>
      </c>
      <c r="E26" s="162">
        <f>SUM(E27:E28)</f>
        <v>1303900</v>
      </c>
      <c r="F26" s="143">
        <f>SUM(F27:F28)</f>
        <v>4596511</v>
      </c>
      <c r="G26" s="81">
        <f>SUM(G27:G28)</f>
        <v>357000</v>
      </c>
      <c r="H26" s="46">
        <f t="shared" ref="H26" si="10">SUM(H27:H28)</f>
        <v>1130855</v>
      </c>
      <c r="I26" s="46">
        <f>SUM(I27:I28)</f>
        <v>1546358</v>
      </c>
      <c r="J26" s="193">
        <f>SUM(J27:J28)</f>
        <v>1562298</v>
      </c>
      <c r="K26" s="178">
        <f>SUM(K27:K28)</f>
        <v>0</v>
      </c>
      <c r="M26" s="6">
        <f>E26+E22</f>
        <v>18994992</v>
      </c>
      <c r="N26" s="36">
        <f>M26/E10</f>
        <v>0.51897684225722973</v>
      </c>
    </row>
    <row r="27" spans="1:14" x14ac:dyDescent="0.25">
      <c r="A27" s="64" t="s">
        <v>178</v>
      </c>
      <c r="B27" s="11"/>
      <c r="C27" s="8"/>
      <c r="D27" s="119" t="s">
        <v>176</v>
      </c>
      <c r="E27" s="163">
        <f t="shared" si="4"/>
        <v>1303900</v>
      </c>
      <c r="F27" s="144">
        <f>SUM(G27:J27)</f>
        <v>1303900</v>
      </c>
      <c r="G27" s="94">
        <v>357000</v>
      </c>
      <c r="H27" s="59">
        <v>109914</v>
      </c>
      <c r="I27" s="90">
        <v>295005</v>
      </c>
      <c r="J27" s="197">
        <v>541981</v>
      </c>
      <c r="K27" s="179">
        <v>0</v>
      </c>
    </row>
    <row r="28" spans="1:14" x14ac:dyDescent="0.25">
      <c r="A28" s="64" t="s">
        <v>179</v>
      </c>
      <c r="B28" s="11"/>
      <c r="C28" s="8"/>
      <c r="D28" s="119" t="s">
        <v>177</v>
      </c>
      <c r="E28" s="163">
        <v>0</v>
      </c>
      <c r="F28" s="144">
        <f>SUM(G28:J28)</f>
        <v>3292611</v>
      </c>
      <c r="G28" s="94">
        <v>0</v>
      </c>
      <c r="H28" s="59">
        <v>1020941</v>
      </c>
      <c r="I28" s="22">
        <v>1251353</v>
      </c>
      <c r="J28" s="198">
        <v>1020317</v>
      </c>
      <c r="K28" s="179">
        <v>0</v>
      </c>
    </row>
    <row r="29" spans="1:14" x14ac:dyDescent="0.25">
      <c r="A29" s="63" t="s">
        <v>33</v>
      </c>
      <c r="B29" s="8"/>
      <c r="C29" s="8"/>
      <c r="D29" s="120" t="s">
        <v>34</v>
      </c>
      <c r="E29" s="164">
        <f>F29-K29</f>
        <v>1847890</v>
      </c>
      <c r="F29" s="145">
        <f>G29+H29+I29+J29</f>
        <v>1847890</v>
      </c>
      <c r="G29" s="81">
        <v>1016589</v>
      </c>
      <c r="H29" s="61">
        <v>174169</v>
      </c>
      <c r="I29" s="44">
        <v>538400</v>
      </c>
      <c r="J29" s="199">
        <v>118732</v>
      </c>
      <c r="K29" s="176">
        <v>0</v>
      </c>
      <c r="M29" s="9">
        <f>E29/E10</f>
        <v>5.0487629425625041E-2</v>
      </c>
    </row>
    <row r="30" spans="1:14" ht="15.75" x14ac:dyDescent="0.25">
      <c r="A30" s="130"/>
      <c r="B30" s="131"/>
      <c r="C30" s="132"/>
      <c r="D30" s="136" t="s">
        <v>35</v>
      </c>
      <c r="E30" s="165">
        <f>F30-K30</f>
        <v>43645035</v>
      </c>
      <c r="F30" s="146">
        <f>F31+F42+F55+F61+F63+F74+F80+F38+F50</f>
        <v>46937646</v>
      </c>
      <c r="G30" s="96">
        <f>G31+G42+G55+G61+G63+G74+G80+G38+G50</f>
        <v>33553645</v>
      </c>
      <c r="H30" s="53">
        <f t="shared" ref="H30:I30" si="11">H31+H42+H55+H61+H63+H74+H80+H38+H50</f>
        <v>3535317</v>
      </c>
      <c r="I30" s="53">
        <f t="shared" si="11"/>
        <v>4633013</v>
      </c>
      <c r="J30" s="200">
        <f>J31+J42+J55+J61+J63+J74+J80+J38+J50</f>
        <v>5215671</v>
      </c>
      <c r="K30" s="180">
        <f>K31+K42+K55+K61+K63+K74+K80+K38+K50</f>
        <v>3292611</v>
      </c>
      <c r="L30" s="25"/>
    </row>
    <row r="31" spans="1:14" x14ac:dyDescent="0.25">
      <c r="A31" s="70" t="s">
        <v>36</v>
      </c>
      <c r="B31" s="14"/>
      <c r="C31" s="15"/>
      <c r="D31" s="120" t="s">
        <v>37</v>
      </c>
      <c r="E31" s="162">
        <f t="shared" si="1"/>
        <v>4063382</v>
      </c>
      <c r="F31" s="143">
        <f>SUM(F32:F35)</f>
        <v>7355993</v>
      </c>
      <c r="G31" s="81">
        <f>SUM(G32:G35)</f>
        <v>6251337</v>
      </c>
      <c r="H31" s="44">
        <f t="shared" ref="H31:J31" si="12">SUM(H32:H35)</f>
        <v>327822</v>
      </c>
      <c r="I31" s="44">
        <f t="shared" si="12"/>
        <v>495223</v>
      </c>
      <c r="J31" s="199">
        <f t="shared" si="12"/>
        <v>281611</v>
      </c>
      <c r="K31" s="176">
        <f>SUM(K32:K35)</f>
        <v>3292611</v>
      </c>
      <c r="N31" s="10"/>
    </row>
    <row r="32" spans="1:14" ht="30" x14ac:dyDescent="0.25">
      <c r="A32" s="63" t="s">
        <v>38</v>
      </c>
      <c r="B32" s="16" t="s">
        <v>96</v>
      </c>
      <c r="C32" s="12"/>
      <c r="D32" s="154" t="s">
        <v>39</v>
      </c>
      <c r="E32" s="169">
        <f t="shared" ref="E32:E34" si="13">F32</f>
        <v>3903863</v>
      </c>
      <c r="F32" s="147">
        <f>G32+H32+I32+J32+K32</f>
        <v>3903863</v>
      </c>
      <c r="G32" s="95">
        <f>SUMIF(Tabula1[Valdības funkcijas kods],Pamatbudžets!$B32,Tabula1[Summa: Tāmes'#Summa])</f>
        <v>2842610</v>
      </c>
      <c r="H32" s="45">
        <f>SUMIF(Tabula4[Valdības funkcijas kods],Pamatbudžets!$B32,Tabula4[Summa: Tāmes'#Summa])</f>
        <v>295679</v>
      </c>
      <c r="I32" s="50">
        <f>SUMIF(Tabula2[Valdības funkcijas kods],Pamatbudžets!$B32,Tabula2[Summa: Tāmes'#Summa])</f>
        <v>492438</v>
      </c>
      <c r="J32" s="201">
        <f>SUMIF(Tabula3[Valdības funkcijas kods],Pamatbudžets!$B32,Tabula3[Summa: Tāmes'#Summa])</f>
        <v>273136</v>
      </c>
      <c r="K32" s="181">
        <v>0</v>
      </c>
      <c r="N32" s="10"/>
    </row>
    <row r="33" spans="1:14" ht="30" x14ac:dyDescent="0.25">
      <c r="A33" s="63" t="s">
        <v>40</v>
      </c>
      <c r="B33" s="16" t="s">
        <v>149</v>
      </c>
      <c r="C33" s="12"/>
      <c r="D33" s="69" t="s">
        <v>95</v>
      </c>
      <c r="E33" s="169">
        <f t="shared" si="13"/>
        <v>30903</v>
      </c>
      <c r="F33" s="147">
        <f t="shared" ref="F33:F34" si="14">G33+H33+I33+J33+K33</f>
        <v>30903</v>
      </c>
      <c r="G33" s="95">
        <f>SUMIF(Tabula1[Valdības funkcijas kods],Pamatbudžets!B33,Tabula1[Summa: Tāmes'#Summa])</f>
        <v>0</v>
      </c>
      <c r="H33" s="45">
        <f>SUMIF(Tabula4[Valdības funkcijas kods],Pamatbudžets!$B33,Tabula4[Summa: Tāmes'#Summa])</f>
        <v>19643</v>
      </c>
      <c r="I33" s="50">
        <f>SUMIF(Tabula2[Valdības funkcijas kods],Pamatbudžets!$B33,Tabula2[Summa: Tāmes'#Summa])</f>
        <v>2785</v>
      </c>
      <c r="J33" s="201">
        <f>SUMIF(Tabula3[Valdības funkcijas kods],Pamatbudžets!$B33,Tabula3[Summa: Tāmes'#Summa])</f>
        <v>8475</v>
      </c>
      <c r="K33" s="181">
        <v>0</v>
      </c>
      <c r="N33" s="10"/>
    </row>
    <row r="34" spans="1:14" ht="30" x14ac:dyDescent="0.25">
      <c r="A34" s="63" t="s">
        <v>41</v>
      </c>
      <c r="B34" s="12" t="s">
        <v>97</v>
      </c>
      <c r="C34" s="12" t="s">
        <v>98</v>
      </c>
      <c r="D34" s="116" t="s">
        <v>42</v>
      </c>
      <c r="E34" s="169">
        <f t="shared" si="13"/>
        <v>116616</v>
      </c>
      <c r="F34" s="147">
        <f t="shared" si="14"/>
        <v>116616</v>
      </c>
      <c r="G34" s="95">
        <f>SUMIF(Tabula1[Valdības funkcijas kods],Pamatbudžets!$B34,Tabula1[Summa: Tāmes'#Summa])+SUMIF(Tabula1[Valdības funkcijas kods],Pamatbudžets!$C34,Tabula1[Summa: Tāmes'#Summa])</f>
        <v>116116</v>
      </c>
      <c r="H34" s="45">
        <f>SUMIF(Tabula4[Valdības funkcijas kods],Pamatbudžets!$B34,Tabula4[Summa: Tāmes'#Summa])+SUMIF(Tabula4[Valdības funkcijas kods],Pamatbudžets!$C34,Tabula4[Summa: Tāmes'#Summa])</f>
        <v>500</v>
      </c>
      <c r="I34" s="45">
        <f>SUMIF(Tabula2[Valdības funkcijas kods],Pamatbudžets!$B34,Tabula2[Summa: Tāmes'#Summa])+SUMIF(Tabula2[Valdības funkcijas kods],Pamatbudžets!$C34,Tabula2[Summa: Tāmes'#Summa])</f>
        <v>0</v>
      </c>
      <c r="J34" s="202">
        <f>SUMIF(Tabula3[Valdības funkcijas kods],Pamatbudžets!$B34,Tabula3[Summa: Tāmes'#Summa])+SUMIF(Tabula3[Valdības funkcijas kods],Pamatbudžets!$C34,Tabula3[Summa: Tāmes'#Summa])</f>
        <v>0</v>
      </c>
      <c r="K34" s="181">
        <v>0</v>
      </c>
      <c r="N34" s="10"/>
    </row>
    <row r="35" spans="1:14" ht="30" x14ac:dyDescent="0.25">
      <c r="A35" s="63" t="s">
        <v>43</v>
      </c>
      <c r="B35" s="12" t="s">
        <v>150</v>
      </c>
      <c r="C35" s="12"/>
      <c r="D35" s="116" t="s">
        <v>44</v>
      </c>
      <c r="E35" s="166">
        <f>SUM(E36:E37)</f>
        <v>12000</v>
      </c>
      <c r="F35" s="147">
        <f>SUM(F36:F37)</f>
        <v>3304611</v>
      </c>
      <c r="G35" s="89">
        <f>SUM(G36:G37)</f>
        <v>3292611</v>
      </c>
      <c r="H35" s="45">
        <f t="shared" ref="H35:K35" si="15">SUM(H36:H37)</f>
        <v>12000</v>
      </c>
      <c r="I35" s="45">
        <f t="shared" si="15"/>
        <v>0</v>
      </c>
      <c r="J35" s="202">
        <f t="shared" si="15"/>
        <v>0</v>
      </c>
      <c r="K35" s="181">
        <f t="shared" si="15"/>
        <v>3292611</v>
      </c>
      <c r="N35" s="10"/>
    </row>
    <row r="36" spans="1:14" ht="26.25" x14ac:dyDescent="0.25">
      <c r="A36" s="103" t="s">
        <v>199</v>
      </c>
      <c r="B36" s="42" t="s">
        <v>201</v>
      </c>
      <c r="C36" s="42"/>
      <c r="D36" s="121" t="s">
        <v>198</v>
      </c>
      <c r="E36" s="167">
        <f t="shared" si="1"/>
        <v>0</v>
      </c>
      <c r="F36" s="148">
        <f>G36+H36+I36+J36</f>
        <v>3292611</v>
      </c>
      <c r="G36" s="86">
        <f>K36</f>
        <v>3292611</v>
      </c>
      <c r="H36" s="43">
        <f>SUMIF(Tabula4[Valdības funkcijas kods],Pamatbudžets!$B36,Tabula4[Summa: Tāmes'#Summa])</f>
        <v>0</v>
      </c>
      <c r="I36" s="43">
        <f>SUMIF(Tabula2[Valdības funkcijas kods],Pamatbudžets!$B36,Tabula2[Summa: Tāmes'#Summa])</f>
        <v>0</v>
      </c>
      <c r="J36" s="203">
        <f>SUMIF(Tabula3[Valdības funkcijas kods],Pamatbudžets!$B36,Tabula3[Summa: Tāmes'#Summa])</f>
        <v>0</v>
      </c>
      <c r="K36" s="182">
        <f>K25+K23+K12+K24</f>
        <v>3292611</v>
      </c>
      <c r="N36" s="10"/>
    </row>
    <row r="37" spans="1:14" ht="39" x14ac:dyDescent="0.25">
      <c r="A37" s="103" t="s">
        <v>200</v>
      </c>
      <c r="B37" s="42" t="s">
        <v>202</v>
      </c>
      <c r="C37" s="42"/>
      <c r="D37" s="121" t="s">
        <v>203</v>
      </c>
      <c r="E37" s="167">
        <f t="shared" si="1"/>
        <v>12000</v>
      </c>
      <c r="F37" s="148">
        <f>G37+H37+I37+J37+K37</f>
        <v>12000</v>
      </c>
      <c r="G37" s="86">
        <f>SUMIF(Tabula1[Valdības funkcijas kods],Pamatbudžets!B37,Tabula1[Summa: Tāmes'#Summa])</f>
        <v>0</v>
      </c>
      <c r="H37" s="43">
        <f>SUMIF(Tabula4[Valdības funkcijas kods],Pamatbudžets!$B37,Tabula4[Summa: Tāmes'#Summa])</f>
        <v>12000</v>
      </c>
      <c r="I37" s="43">
        <f>SUMIF(Tabula2[Valdības funkcijas kods],Pamatbudžets!$B37,Tabula2[Summa: Tāmes'#Summa])</f>
        <v>0</v>
      </c>
      <c r="J37" s="203">
        <f>SUMIF(Tabula3[Valdības funkcijas kods],Pamatbudžets!$B37,Tabula3[Summa: Tāmes'#Summa])</f>
        <v>0</v>
      </c>
      <c r="K37" s="183">
        <v>0</v>
      </c>
      <c r="N37" s="10"/>
    </row>
    <row r="38" spans="1:14" x14ac:dyDescent="0.25">
      <c r="A38" s="70" t="s">
        <v>45</v>
      </c>
      <c r="B38" s="15"/>
      <c r="C38" s="15"/>
      <c r="D38" s="122" t="s">
        <v>46</v>
      </c>
      <c r="E38" s="162">
        <f t="shared" si="1"/>
        <v>368</v>
      </c>
      <c r="F38" s="143">
        <f>SUM(F39:F41)</f>
        <v>368</v>
      </c>
      <c r="G38" s="85">
        <f>SUM(G39:G41)</f>
        <v>368</v>
      </c>
      <c r="H38" s="44">
        <f t="shared" ref="H38:K38" si="16">SUM(H39:H41)</f>
        <v>0</v>
      </c>
      <c r="I38" s="44">
        <f t="shared" si="16"/>
        <v>0</v>
      </c>
      <c r="J38" s="199">
        <f t="shared" si="16"/>
        <v>0</v>
      </c>
      <c r="K38" s="176">
        <f t="shared" si="16"/>
        <v>0</v>
      </c>
      <c r="N38" s="10"/>
    </row>
    <row r="39" spans="1:14" x14ac:dyDescent="0.25">
      <c r="A39" s="63" t="s">
        <v>47</v>
      </c>
      <c r="B39" s="12" t="s">
        <v>157</v>
      </c>
      <c r="C39" s="12"/>
      <c r="D39" s="91" t="s">
        <v>48</v>
      </c>
      <c r="E39" s="169">
        <f t="shared" ref="E39:E41" si="17">F39</f>
        <v>0</v>
      </c>
      <c r="F39" s="147">
        <f t="shared" ref="F39:F40" si="18">G39+H39+I39+J39+K39</f>
        <v>0</v>
      </c>
      <c r="G39" s="77">
        <f>SUMIF(Tabula1[Valdības funkcijas kods],Pamatbudžets!B39,Tabula1[Summa: Tāmes'#Summa])</f>
        <v>0</v>
      </c>
      <c r="H39" s="45">
        <f>SUMIF(Tabula4[Valdības funkcijas kods],Pamatbudžets!$B39,Tabula4[Summa: Tāmes'#Summa])</f>
        <v>0</v>
      </c>
      <c r="I39" s="45">
        <f>SUMIF(Tabula2[Valdības funkcijas kods],Pamatbudžets!$B39,Tabula2[Summa: Tāmes'#Summa])</f>
        <v>0</v>
      </c>
      <c r="J39" s="202">
        <f>SUMIF(Tabula3[Valdības funkcijas kods],Pamatbudžets!$B39,Tabula3[Summa: Tāmes'#Summa])</f>
        <v>0</v>
      </c>
      <c r="K39" s="181">
        <v>0</v>
      </c>
      <c r="N39" s="10"/>
    </row>
    <row r="40" spans="1:14" x14ac:dyDescent="0.25">
      <c r="A40" s="63" t="s">
        <v>49</v>
      </c>
      <c r="B40" s="12" t="s">
        <v>151</v>
      </c>
      <c r="C40" s="12"/>
      <c r="D40" s="116" t="s">
        <v>50</v>
      </c>
      <c r="E40" s="169">
        <f t="shared" si="17"/>
        <v>0</v>
      </c>
      <c r="F40" s="147">
        <f t="shared" si="18"/>
        <v>0</v>
      </c>
      <c r="G40" s="77">
        <f>SUMIF(Tabula1[Valdības funkcijas kods],Pamatbudžets!B40,Tabula1[Summa: Tāmes'#Summa])</f>
        <v>0</v>
      </c>
      <c r="H40" s="45">
        <f>SUMIF(Tabula4[Valdības funkcijas kods],Pamatbudžets!$B40,Tabula4[Summa: Tāmes'#Summa])</f>
        <v>0</v>
      </c>
      <c r="I40" s="45">
        <f>SUMIF(Tabula2[Valdības funkcijas kods],Pamatbudžets!$B40,Tabula2[Summa: Tāmes'#Summa])</f>
        <v>0</v>
      </c>
      <c r="J40" s="202">
        <f>SUMIF(Tabula3[Valdības funkcijas kods],Pamatbudžets!$B40,Tabula3[Summa: Tāmes'#Summa])</f>
        <v>0</v>
      </c>
      <c r="K40" s="181">
        <v>0</v>
      </c>
      <c r="N40" s="10"/>
    </row>
    <row r="41" spans="1:14" ht="30" x14ac:dyDescent="0.25">
      <c r="A41" s="63" t="s">
        <v>51</v>
      </c>
      <c r="B41" s="12" t="s">
        <v>99</v>
      </c>
      <c r="C41" s="12"/>
      <c r="D41" s="116" t="s">
        <v>52</v>
      </c>
      <c r="E41" s="169">
        <f t="shared" si="17"/>
        <v>368</v>
      </c>
      <c r="F41" s="147">
        <f>G41+H41+I41+J41+K41</f>
        <v>368</v>
      </c>
      <c r="G41" s="77">
        <f>SUMIF(Tabula1[Valdības funkcijas kods],Pamatbudžets!B41,Tabula1[Summa: Tāmes'#Summa])</f>
        <v>368</v>
      </c>
      <c r="H41" s="45">
        <f>SUMIF(Tabula4[Valdības funkcijas kods],Pamatbudžets!$B41,Tabula4[Summa: Tāmes'#Summa])</f>
        <v>0</v>
      </c>
      <c r="I41" s="45">
        <f>SUMIF(Tabula2[Valdības funkcijas kods],Pamatbudžets!$B41,Tabula2[Summa: Tāmes'#Summa])</f>
        <v>0</v>
      </c>
      <c r="J41" s="202">
        <f>SUMIF(Tabula3[Valdības funkcijas kods],Pamatbudžets!$B41,Tabula3[Summa: Tāmes'#Summa])</f>
        <v>0</v>
      </c>
      <c r="K41" s="181">
        <v>0</v>
      </c>
      <c r="N41" s="10"/>
    </row>
    <row r="42" spans="1:14" x14ac:dyDescent="0.25">
      <c r="A42" s="70" t="s">
        <v>53</v>
      </c>
      <c r="B42" s="15"/>
      <c r="C42" s="15"/>
      <c r="D42" s="122" t="s">
        <v>54</v>
      </c>
      <c r="E42" s="162">
        <f t="shared" si="1"/>
        <v>741370</v>
      </c>
      <c r="F42" s="143">
        <f t="shared" ref="F42:K42" si="19">SUM(F43:F49)</f>
        <v>741370</v>
      </c>
      <c r="G42" s="85">
        <f t="shared" si="19"/>
        <v>303005</v>
      </c>
      <c r="H42" s="44">
        <f t="shared" si="19"/>
        <v>273134</v>
      </c>
      <c r="I42" s="46">
        <f t="shared" si="19"/>
        <v>165231</v>
      </c>
      <c r="J42" s="199">
        <f t="shared" si="19"/>
        <v>0</v>
      </c>
      <c r="K42" s="176">
        <f t="shared" si="19"/>
        <v>0</v>
      </c>
      <c r="N42" s="10"/>
    </row>
    <row r="43" spans="1:14" ht="30" x14ac:dyDescent="0.25">
      <c r="A43" s="63" t="s">
        <v>9</v>
      </c>
      <c r="B43" s="12" t="s">
        <v>100</v>
      </c>
      <c r="C43" s="12"/>
      <c r="D43" s="116" t="s">
        <v>55</v>
      </c>
      <c r="E43" s="169">
        <f t="shared" ref="E43:E49" si="20">F43</f>
        <v>141402</v>
      </c>
      <c r="F43" s="147">
        <f>G43+H43+I43+J43+K43</f>
        <v>141402</v>
      </c>
      <c r="G43" s="77">
        <f>SUMIF(Tabula1[Valdības funkcijas kods],Pamatbudžets!B43,Tabula1[Summa: Tāmes'#Summa])</f>
        <v>117670</v>
      </c>
      <c r="H43" s="45">
        <f>SUMIF(Tabula4[Valdības funkcijas kods],Pamatbudžets!$B43,Tabula4[Summa: Tāmes'#Summa])</f>
        <v>23732</v>
      </c>
      <c r="I43" s="50">
        <f>SUMIF(Tabula2[Valdības funkcijas kods],Pamatbudžets!$B43,Tabula2[Summa: Tāmes'#Summa])</f>
        <v>0</v>
      </c>
      <c r="J43" s="202">
        <f>SUMIF(Tabula3[Valdības funkcijas kods],Pamatbudžets!$B43,Tabula3[Summa: Tāmes'#Summa])</f>
        <v>0</v>
      </c>
      <c r="K43" s="181">
        <v>0</v>
      </c>
      <c r="N43" s="10"/>
    </row>
    <row r="44" spans="1:14" ht="30" x14ac:dyDescent="0.25">
      <c r="A44" s="63" t="s">
        <v>56</v>
      </c>
      <c r="B44" s="12" t="s">
        <v>101</v>
      </c>
      <c r="C44" s="12"/>
      <c r="D44" s="116" t="s">
        <v>57</v>
      </c>
      <c r="E44" s="169">
        <f t="shared" si="20"/>
        <v>4075</v>
      </c>
      <c r="F44" s="147">
        <f t="shared" ref="F44:F49" si="21">G44+H44+I44+J44+K44</f>
        <v>4075</v>
      </c>
      <c r="G44" s="77">
        <f>SUMIF(Tabula1[Valdības funkcijas kods],Pamatbudžets!B44,Tabula1[Summa: Tāmes'#Summa])</f>
        <v>1000</v>
      </c>
      <c r="H44" s="45">
        <f>SUMIF(Tabula4[Valdības funkcijas kods],Pamatbudžets!$B44,Tabula4[Summa: Tāmes'#Summa])</f>
        <v>3075</v>
      </c>
      <c r="I44" s="50">
        <f>SUMIF(Tabula2[Valdības funkcijas kods],Pamatbudžets!$B44,Tabula2[Summa: Tāmes'#Summa])</f>
        <v>0</v>
      </c>
      <c r="J44" s="202">
        <f>SUMIF(Tabula3[Valdības funkcijas kods],Pamatbudžets!$B44,Tabula3[Summa: Tāmes'#Summa])</f>
        <v>0</v>
      </c>
      <c r="K44" s="181">
        <v>0</v>
      </c>
      <c r="N44" s="10"/>
    </row>
    <row r="45" spans="1:14" x14ac:dyDescent="0.25">
      <c r="A45" s="71" t="s">
        <v>191</v>
      </c>
      <c r="B45" s="12" t="s">
        <v>190</v>
      </c>
      <c r="C45" s="12"/>
      <c r="D45" s="116" t="s">
        <v>192</v>
      </c>
      <c r="E45" s="169">
        <f t="shared" si="20"/>
        <v>820</v>
      </c>
      <c r="F45" s="147">
        <f t="shared" si="21"/>
        <v>820</v>
      </c>
      <c r="G45" s="77">
        <v>0</v>
      </c>
      <c r="H45" s="45">
        <f>SUMIF(Tabula4[Valdības funkcijas kods],Pamatbudžets!$B45,Tabula4[Summa: Tāmes'#Summa])</f>
        <v>820</v>
      </c>
      <c r="I45" s="50">
        <v>0</v>
      </c>
      <c r="J45" s="202">
        <v>0</v>
      </c>
      <c r="K45" s="181">
        <v>0</v>
      </c>
      <c r="N45" s="10"/>
    </row>
    <row r="46" spans="1:14" x14ac:dyDescent="0.25">
      <c r="A46" s="71" t="s">
        <v>186</v>
      </c>
      <c r="B46" s="12" t="s">
        <v>184</v>
      </c>
      <c r="C46" s="12"/>
      <c r="D46" s="123" t="s">
        <v>223</v>
      </c>
      <c r="E46" s="169">
        <f t="shared" si="20"/>
        <v>19386</v>
      </c>
      <c r="F46" s="147">
        <f t="shared" si="21"/>
        <v>19386</v>
      </c>
      <c r="G46" s="77">
        <f>SUMIF(Tabula1[Valdības funkcijas kods],Pamatbudžets!B46,Tabula1[Summa: Tāmes'#Summa])</f>
        <v>0</v>
      </c>
      <c r="H46" s="45">
        <f>SUMIF(Tabula4[Valdības funkcijas kods],Pamatbudžets!$B46,Tabula4[Summa: Tāmes'#Summa])</f>
        <v>0</v>
      </c>
      <c r="I46" s="50">
        <f>SUMIF(Tabula2[Valdības funkcijas kods],Pamatbudžets!$B46,Tabula2[Summa: Tāmes'#Summa])</f>
        <v>19386</v>
      </c>
      <c r="J46" s="202">
        <f>SUMIF(Tabula3[Valdības funkcijas kods],Pamatbudžets!$B46,Tabula3[Summa: Tāmes'#Summa])</f>
        <v>0</v>
      </c>
      <c r="K46" s="181">
        <v>0</v>
      </c>
      <c r="N46" s="10"/>
    </row>
    <row r="47" spans="1:14" x14ac:dyDescent="0.25">
      <c r="A47" s="71" t="s">
        <v>187</v>
      </c>
      <c r="B47" s="12" t="s">
        <v>185</v>
      </c>
      <c r="C47" s="12"/>
      <c r="D47" s="123" t="s">
        <v>224</v>
      </c>
      <c r="E47" s="169">
        <f t="shared" si="20"/>
        <v>369783</v>
      </c>
      <c r="F47" s="147">
        <f t="shared" si="21"/>
        <v>369783</v>
      </c>
      <c r="G47" s="77">
        <f>SUMIF(Tabula1[Valdības funkcijas kods],Pamatbudžets!B47,Tabula1[Summa: Tāmes'#Summa])</f>
        <v>0</v>
      </c>
      <c r="H47" s="45">
        <f>SUMIF(Tabula4[Valdības funkcijas kods],Pamatbudžets!$B47,Tabula4[Summa: Tāmes'#Summa])</f>
        <v>223938</v>
      </c>
      <c r="I47" s="50">
        <f>SUMIF(Tabula2[Valdības funkcijas kods],Pamatbudžets!$B47,Tabula2[Summa: Tāmes'#Summa])</f>
        <v>145845</v>
      </c>
      <c r="J47" s="202">
        <f>SUMIF(Tabula3[Valdības funkcijas kods],Pamatbudžets!$B47,Tabula3[Summa: Tāmes'#Summa])</f>
        <v>0</v>
      </c>
      <c r="K47" s="181">
        <v>0</v>
      </c>
      <c r="N47" s="10"/>
    </row>
    <row r="48" spans="1:14" x14ac:dyDescent="0.25">
      <c r="A48" s="71" t="s">
        <v>58</v>
      </c>
      <c r="B48" s="12" t="s">
        <v>102</v>
      </c>
      <c r="C48" s="12" t="s">
        <v>189</v>
      </c>
      <c r="D48" s="116" t="s">
        <v>104</v>
      </c>
      <c r="E48" s="169">
        <f t="shared" si="20"/>
        <v>79727</v>
      </c>
      <c r="F48" s="147">
        <f t="shared" si="21"/>
        <v>79727</v>
      </c>
      <c r="G48" s="77">
        <f>SUMIF(Tabula1[Valdības funkcijas kods],Pamatbudžets!B48,Tabula1[Summa: Tāmes'#Summa])</f>
        <v>65285</v>
      </c>
      <c r="H48" s="45">
        <f>SUMIF(Tabula4[Valdības funkcijas kods],Pamatbudžets!$B48,Tabula4[Summa: Tāmes'#Summa])+SUMIF(Tabula4[Valdības funkcijas kods],Pamatbudžets!$C48,Tabula4[Summa: Tāmes'#Summa])</f>
        <v>14442</v>
      </c>
      <c r="I48" s="50">
        <f>SUMIF(Tabula2[Valdības funkcijas kods],Pamatbudžets!$B48,Tabula2[Summa: Tāmes'#Summa])</f>
        <v>0</v>
      </c>
      <c r="J48" s="202">
        <f>SUMIF(Tabula3[Valdības funkcijas kods],Pamatbudžets!$B48,Tabula3[Summa: Tāmes'#Summa])</f>
        <v>0</v>
      </c>
      <c r="K48" s="181">
        <v>0</v>
      </c>
      <c r="N48" s="10"/>
    </row>
    <row r="49" spans="1:14" x14ac:dyDescent="0.25">
      <c r="A49" s="71" t="s">
        <v>59</v>
      </c>
      <c r="B49" s="12" t="s">
        <v>103</v>
      </c>
      <c r="C49" s="12"/>
      <c r="D49" s="116" t="s">
        <v>60</v>
      </c>
      <c r="E49" s="169">
        <f t="shared" si="20"/>
        <v>126177</v>
      </c>
      <c r="F49" s="147">
        <f t="shared" si="21"/>
        <v>126177</v>
      </c>
      <c r="G49" s="77">
        <f>SUMIF(Tabula1[Valdības funkcijas kods],Pamatbudžets!B49,Tabula1[Summa: Tāmes'#Summa])</f>
        <v>119050</v>
      </c>
      <c r="H49" s="45">
        <f>SUMIF(Tabula4[Valdības funkcijas kods],Pamatbudžets!$B49,Tabula4[Summa: Tāmes'#Summa])</f>
        <v>7127</v>
      </c>
      <c r="I49" s="50">
        <f>SUMIF(Tabula2[Valdības funkcijas kods],Pamatbudžets!$B49,Tabula2[Summa: Tāmes'#Summa])</f>
        <v>0</v>
      </c>
      <c r="J49" s="202">
        <f>SUMIF(Tabula3[Valdības funkcijas kods],Pamatbudžets!$B49,Tabula3[Summa: Tāmes'#Summa])</f>
        <v>0</v>
      </c>
      <c r="K49" s="181">
        <v>0</v>
      </c>
      <c r="N49" s="10"/>
    </row>
    <row r="50" spans="1:14" x14ac:dyDescent="0.25">
      <c r="A50" s="70" t="s">
        <v>61</v>
      </c>
      <c r="B50" s="15"/>
      <c r="C50" s="15"/>
      <c r="D50" s="122" t="s">
        <v>62</v>
      </c>
      <c r="E50" s="162">
        <f t="shared" si="1"/>
        <v>49277</v>
      </c>
      <c r="F50" s="143">
        <f>SUM(F51:F54)</f>
        <v>49277</v>
      </c>
      <c r="G50" s="85">
        <f>SUM(G51:G54)</f>
        <v>29771</v>
      </c>
      <c r="H50" s="44">
        <f t="shared" ref="H50:K50" si="22">SUM(H51:H54)</f>
        <v>14506</v>
      </c>
      <c r="I50" s="46">
        <f t="shared" si="22"/>
        <v>5000</v>
      </c>
      <c r="J50" s="199">
        <f t="shared" si="22"/>
        <v>0</v>
      </c>
      <c r="K50" s="176">
        <f t="shared" si="22"/>
        <v>0</v>
      </c>
      <c r="N50" s="10"/>
    </row>
    <row r="51" spans="1:14" x14ac:dyDescent="0.25">
      <c r="A51" s="63" t="s">
        <v>63</v>
      </c>
      <c r="B51" s="12" t="s">
        <v>105</v>
      </c>
      <c r="C51" s="12"/>
      <c r="D51" s="91" t="s">
        <v>122</v>
      </c>
      <c r="E51" s="169">
        <f t="shared" ref="E51:E54" si="23">F51</f>
        <v>40677</v>
      </c>
      <c r="F51" s="147">
        <f>G51+H51+I51+J51+K51</f>
        <v>40677</v>
      </c>
      <c r="G51" s="77">
        <f>SUMIF(Tabula1[Valdības funkcijas kods],Pamatbudžets!B51,Tabula1[Summa: Tāmes'#Summa])</f>
        <v>26171</v>
      </c>
      <c r="H51" s="45">
        <f>SUMIF(Tabula4[Valdības funkcijas kods],Pamatbudžets!$B51,Tabula4[Summa: Tāmes'#Summa])</f>
        <v>14506</v>
      </c>
      <c r="I51" s="50">
        <f>SUMIF(Tabula2[Valdības funkcijas kods],Pamatbudžets!$B51,Tabula2[Summa: Tāmes'#Summa])</f>
        <v>0</v>
      </c>
      <c r="J51" s="202">
        <f>SUMIF(Tabula3[Valdības funkcijas kods],Pamatbudžets!$B51,Tabula3[Summa: Tāmes'#Summa])</f>
        <v>0</v>
      </c>
      <c r="K51" s="181">
        <v>0</v>
      </c>
      <c r="N51" s="10"/>
    </row>
    <row r="52" spans="1:14" x14ac:dyDescent="0.25">
      <c r="A52" s="63" t="s">
        <v>64</v>
      </c>
      <c r="B52" s="12" t="s">
        <v>152</v>
      </c>
      <c r="C52" s="12"/>
      <c r="D52" s="91" t="s">
        <v>123</v>
      </c>
      <c r="E52" s="169">
        <f t="shared" si="23"/>
        <v>0</v>
      </c>
      <c r="F52" s="147">
        <f t="shared" ref="F52:F54" si="24">G52+H52+I52+J52+K52</f>
        <v>0</v>
      </c>
      <c r="G52" s="77">
        <f>SUMIF(Tabula1[Valdības funkcijas kods],Pamatbudžets!B52,Tabula1[Summa: Tāmes'#Summa])</f>
        <v>0</v>
      </c>
      <c r="H52" s="45">
        <f>SUMIF(Tabula4[Valdības funkcijas kods],Pamatbudžets!$B52,Tabula4[Summa: Tāmes'#Summa])</f>
        <v>0</v>
      </c>
      <c r="I52" s="50">
        <f>SUMIF(Tabula2[Valdības funkcijas kods],Pamatbudžets!$B52,Tabula2[Summa: Tāmes'#Summa])</f>
        <v>0</v>
      </c>
      <c r="J52" s="202">
        <f>SUMIF(Tabula3[Valdības funkcijas kods],Pamatbudžets!$B52,Tabula3[Summa: Tāmes'#Summa])</f>
        <v>0</v>
      </c>
      <c r="K52" s="181">
        <v>0</v>
      </c>
      <c r="N52" s="10"/>
    </row>
    <row r="53" spans="1:14" x14ac:dyDescent="0.25">
      <c r="A53" s="63" t="s">
        <v>65</v>
      </c>
      <c r="B53" s="12" t="s">
        <v>106</v>
      </c>
      <c r="C53" s="12"/>
      <c r="D53" s="116" t="s">
        <v>118</v>
      </c>
      <c r="E53" s="169">
        <f t="shared" si="23"/>
        <v>3600</v>
      </c>
      <c r="F53" s="147">
        <f t="shared" si="24"/>
        <v>3600</v>
      </c>
      <c r="G53" s="77">
        <f>SUMIF(Tabula1[Valdības funkcijas kods],Pamatbudžets!B53,Tabula1[Summa: Tāmes'#Summa])</f>
        <v>3600</v>
      </c>
      <c r="H53" s="45">
        <f>SUMIF(Tabula4[Valdības funkcijas kods],Pamatbudžets!$B53,Tabula4[Summa: Tāmes'#Summa])</f>
        <v>0</v>
      </c>
      <c r="I53" s="50">
        <f>SUMIF(Tabula2[Valdības funkcijas kods],Pamatbudžets!$B53,Tabula2[Summa: Tāmes'#Summa])</f>
        <v>0</v>
      </c>
      <c r="J53" s="202">
        <f>SUMIF(Tabula3[Valdības funkcijas kods],Pamatbudžets!$B53,Tabula3[Summa: Tāmes'#Summa])</f>
        <v>0</v>
      </c>
      <c r="K53" s="181">
        <v>0</v>
      </c>
      <c r="N53" s="10"/>
    </row>
    <row r="54" spans="1:14" x14ac:dyDescent="0.25">
      <c r="A54" s="63" t="s">
        <v>66</v>
      </c>
      <c r="B54" s="12" t="s">
        <v>156</v>
      </c>
      <c r="C54" s="12"/>
      <c r="D54" s="116" t="s">
        <v>67</v>
      </c>
      <c r="E54" s="169">
        <f t="shared" si="23"/>
        <v>5000</v>
      </c>
      <c r="F54" s="147">
        <f t="shared" si="24"/>
        <v>5000</v>
      </c>
      <c r="G54" s="77">
        <f>SUMIF(Tabula1[Valdības funkcijas kods],Pamatbudžets!B54,Tabula1[Summa: Tāmes'#Summa])</f>
        <v>0</v>
      </c>
      <c r="H54" s="45">
        <f>SUMIF(Tabula4[Valdības funkcijas kods],Pamatbudžets!$B54,Tabula4[Summa: Tāmes'#Summa])</f>
        <v>0</v>
      </c>
      <c r="I54" s="50">
        <f>SUMIF(Tabula2[Valdības funkcijas kods],Pamatbudžets!$B54,Tabula2[Summa: Tāmes'#Summa])</f>
        <v>5000</v>
      </c>
      <c r="J54" s="202">
        <f>SUMIF(Tabula3[Valdības funkcijas kods],Pamatbudžets!$B54,Tabula3[Summa: Tāmes'#Summa])</f>
        <v>0</v>
      </c>
      <c r="K54" s="181">
        <v>0</v>
      </c>
      <c r="N54" s="10"/>
    </row>
    <row r="55" spans="1:14" x14ac:dyDescent="0.25">
      <c r="A55" s="70" t="s">
        <v>68</v>
      </c>
      <c r="B55" s="40"/>
      <c r="C55" s="40"/>
      <c r="D55" s="72" t="s">
        <v>69</v>
      </c>
      <c r="E55" s="162">
        <f t="shared" si="1"/>
        <v>7240131</v>
      </c>
      <c r="F55" s="143">
        <f>SUM(F56:F60)</f>
        <v>7240131</v>
      </c>
      <c r="G55" s="85">
        <f>SUM(G56:G60)</f>
        <v>5756644</v>
      </c>
      <c r="H55" s="44">
        <f t="shared" ref="H55:K55" si="25">SUM(H56:H60)</f>
        <v>199669</v>
      </c>
      <c r="I55" s="46">
        <f t="shared" si="25"/>
        <v>904920</v>
      </c>
      <c r="J55" s="199">
        <f t="shared" si="25"/>
        <v>378898</v>
      </c>
      <c r="K55" s="176">
        <f t="shared" si="25"/>
        <v>0</v>
      </c>
      <c r="N55" s="10"/>
    </row>
    <row r="56" spans="1:14" x14ac:dyDescent="0.25">
      <c r="A56" s="63" t="s">
        <v>70</v>
      </c>
      <c r="B56" s="12" t="s">
        <v>107</v>
      </c>
      <c r="C56" s="12"/>
      <c r="D56" s="91" t="s">
        <v>205</v>
      </c>
      <c r="E56" s="169">
        <f t="shared" ref="E56:E60" si="26">F56</f>
        <v>1280431</v>
      </c>
      <c r="F56" s="147">
        <f>G56+H56+I56+J56+K56</f>
        <v>1280431</v>
      </c>
      <c r="G56" s="77">
        <f>SUMIF(Tabula1[Valdības funkcijas kods],Pamatbudžets!B56,Tabula1[Summa: Tāmes'#Summa])</f>
        <v>187637</v>
      </c>
      <c r="H56" s="45">
        <f>SUMIF(Tabula4[Valdības funkcijas kods],Pamatbudžets!$B56,Tabula4[Summa: Tāmes'#Summa])</f>
        <v>5974</v>
      </c>
      <c r="I56" s="50">
        <f>SUMIF(Tabula2[Valdības funkcijas kods],Pamatbudžets!$B56,Tabula2[Summa: Tāmes'#Summa])</f>
        <v>883647</v>
      </c>
      <c r="J56" s="202">
        <f>SUMIF(Tabula3[Valdības funkcijas kods],Pamatbudžets!$B56,Tabula3[Summa: Tāmes'#Summa])</f>
        <v>203173</v>
      </c>
      <c r="K56" s="181">
        <v>0</v>
      </c>
      <c r="N56" s="10"/>
    </row>
    <row r="57" spans="1:14" x14ac:dyDescent="0.25">
      <c r="A57" s="63" t="s">
        <v>71</v>
      </c>
      <c r="B57" s="12" t="s">
        <v>108</v>
      </c>
      <c r="C57" s="12"/>
      <c r="D57" s="91" t="s">
        <v>204</v>
      </c>
      <c r="E57" s="169">
        <f t="shared" si="26"/>
        <v>297925</v>
      </c>
      <c r="F57" s="147">
        <f t="shared" ref="F57:F60" si="27">G57+H57+I57+J57+K57</f>
        <v>297925</v>
      </c>
      <c r="G57" s="77">
        <f>SUMIF(Tabula1[Valdības funkcijas kods],Pamatbudžets!B57,Tabula1[Summa: Tāmes'#Summa])</f>
        <v>162119</v>
      </c>
      <c r="H57" s="45">
        <f>SUMIF(Tabula4[Valdības funkcijas kods],Pamatbudžets!$B57,Tabula4[Summa: Tāmes'#Summa])</f>
        <v>114533</v>
      </c>
      <c r="I57" s="50">
        <f>SUMIF(Tabula2[Valdības funkcijas kods],Pamatbudžets!$B57,Tabula2[Summa: Tāmes'#Summa])</f>
        <v>21273</v>
      </c>
      <c r="J57" s="202">
        <f>SUMIF(Tabula3[Valdības funkcijas kods],Pamatbudžets!$B57,Tabula3[Summa: Tāmes'#Summa])</f>
        <v>0</v>
      </c>
      <c r="K57" s="181">
        <v>0</v>
      </c>
      <c r="N57" s="10"/>
    </row>
    <row r="58" spans="1:14" x14ac:dyDescent="0.25">
      <c r="A58" s="71" t="s">
        <v>124</v>
      </c>
      <c r="B58" s="12" t="s">
        <v>110</v>
      </c>
      <c r="C58" s="12"/>
      <c r="D58" s="91" t="s">
        <v>129</v>
      </c>
      <c r="E58" s="169">
        <f t="shared" si="26"/>
        <v>622</v>
      </c>
      <c r="F58" s="147">
        <f t="shared" si="27"/>
        <v>622</v>
      </c>
      <c r="G58" s="77">
        <f>SUMIF(Tabula1[Valdības funkcijas kods],Pamatbudžets!B58,Tabula1[Summa: Tāmes'#Summa])</f>
        <v>0</v>
      </c>
      <c r="H58" s="45">
        <f>SUMIF(Tabula4[Valdības funkcijas kods],Pamatbudžets!$B58,Tabula4[Summa: Tāmes'#Summa])</f>
        <v>622</v>
      </c>
      <c r="I58" s="50">
        <f>SUMIF(Tabula2[Valdības funkcijas kods],Pamatbudžets!$B58,Tabula2[Summa: Tāmes'#Summa])</f>
        <v>0</v>
      </c>
      <c r="J58" s="202">
        <f>SUMIF(Tabula3[Valdības funkcijas kods],Pamatbudžets!$B58,Tabula3[Summa: Tāmes'#Summa])</f>
        <v>0</v>
      </c>
      <c r="K58" s="181">
        <v>0</v>
      </c>
      <c r="N58" s="10"/>
    </row>
    <row r="59" spans="1:14" x14ac:dyDescent="0.25">
      <c r="A59" s="71" t="s">
        <v>111</v>
      </c>
      <c r="B59" s="12" t="s">
        <v>112</v>
      </c>
      <c r="C59" s="12"/>
      <c r="D59" s="91" t="s">
        <v>116</v>
      </c>
      <c r="E59" s="169">
        <f t="shared" si="26"/>
        <v>391762</v>
      </c>
      <c r="F59" s="147">
        <f t="shared" si="27"/>
        <v>391762</v>
      </c>
      <c r="G59" s="77">
        <f>SUMIF(Tabula1[Valdības funkcijas kods],Pamatbudžets!B59,Tabula1[Summa: Tāmes'#Summa])</f>
        <v>354337</v>
      </c>
      <c r="H59" s="45">
        <f>SUMIF(Tabula4[Valdības funkcijas kods],Pamatbudžets!$B59,Tabula4[Summa: Tāmes'#Summa])</f>
        <v>37425</v>
      </c>
      <c r="I59" s="50">
        <f>SUMIF(Tabula2[Valdības funkcijas kods],Pamatbudžets!$B59,Tabula2[Summa: Tāmes'#Summa])</f>
        <v>0</v>
      </c>
      <c r="J59" s="202">
        <f>SUMIF(Tabula3[Valdības funkcijas kods],Pamatbudžets!$B59,Tabula3[Summa: Tāmes'#Summa])</f>
        <v>0</v>
      </c>
      <c r="K59" s="181">
        <v>0</v>
      </c>
      <c r="N59" s="10"/>
    </row>
    <row r="60" spans="1:14" ht="30" x14ac:dyDescent="0.25">
      <c r="A60" s="63" t="s">
        <v>72</v>
      </c>
      <c r="B60" s="12" t="s">
        <v>109</v>
      </c>
      <c r="C60" s="12"/>
      <c r="D60" s="116" t="s">
        <v>117</v>
      </c>
      <c r="E60" s="169">
        <f t="shared" si="26"/>
        <v>5269391</v>
      </c>
      <c r="F60" s="147">
        <f t="shared" si="27"/>
        <v>5269391</v>
      </c>
      <c r="G60" s="77">
        <f>SUMIF(Tabula1[Valdības funkcijas kods],Pamatbudžets!B60,Tabula1[Summa: Tāmes'#Summa])</f>
        <v>5052551</v>
      </c>
      <c r="H60" s="45">
        <f>SUMIF(Tabula4[Valdības funkcijas kods],Pamatbudžets!$B60,Tabula4[Summa: Tāmes'#Summa])</f>
        <v>41115</v>
      </c>
      <c r="I60" s="50">
        <f>SUMIF(Tabula2[Valdības funkcijas kods],Pamatbudžets!$B60,Tabula2[Summa: Tāmes'#Summa])</f>
        <v>0</v>
      </c>
      <c r="J60" s="202">
        <f>SUMIF(Tabula3[Valdības funkcijas kods],Pamatbudžets!$B60,Tabula3[Summa: Tāmes'#Summa])</f>
        <v>175725</v>
      </c>
      <c r="K60" s="181">
        <v>0</v>
      </c>
      <c r="N60" s="10"/>
    </row>
    <row r="61" spans="1:14" x14ac:dyDescent="0.25">
      <c r="A61" s="70" t="s">
        <v>73</v>
      </c>
      <c r="B61" s="15"/>
      <c r="C61" s="15"/>
      <c r="D61" s="118" t="s">
        <v>74</v>
      </c>
      <c r="E61" s="162">
        <f t="shared" si="1"/>
        <v>218414</v>
      </c>
      <c r="F61" s="143">
        <f>SUM(F62)</f>
        <v>218414</v>
      </c>
      <c r="G61" s="85">
        <f>SUM(G62)</f>
        <v>141265</v>
      </c>
      <c r="H61" s="44">
        <f t="shared" ref="H61:K61" si="28">SUM(H62)</f>
        <v>52889</v>
      </c>
      <c r="I61" s="46">
        <f t="shared" si="28"/>
        <v>24260</v>
      </c>
      <c r="J61" s="199">
        <f t="shared" si="28"/>
        <v>0</v>
      </c>
      <c r="K61" s="176">
        <f t="shared" si="28"/>
        <v>0</v>
      </c>
      <c r="N61" s="10"/>
    </row>
    <row r="62" spans="1:14" ht="30" x14ac:dyDescent="0.25">
      <c r="A62" s="63" t="s">
        <v>75</v>
      </c>
      <c r="B62" s="12" t="s">
        <v>130</v>
      </c>
      <c r="C62" s="12" t="s">
        <v>131</v>
      </c>
      <c r="D62" s="116" t="s">
        <v>119</v>
      </c>
      <c r="E62" s="169">
        <f>F62</f>
        <v>218414</v>
      </c>
      <c r="F62" s="147">
        <f>G62+H62+I62+J62+K62</f>
        <v>218414</v>
      </c>
      <c r="G62" s="77">
        <f>SUMIF(Tabula1[Valdības funkcijas kods],Pamatbudžets!B62,Tabula1[Summa: Tāmes'#Summa])+SUMIF(Tabula1[Valdības funkcijas kods],Pamatbudžets!C62,Tabula1[Summa: Tāmes'#Summa])</f>
        <v>141265</v>
      </c>
      <c r="H62" s="45">
        <f>SUMIF(Tabula4[Valdības funkcijas kods],Pamatbudžets!$B62,Tabula4[Summa: Tāmes'#Summa])+SUMIF(Tabula4[Valdības funkcijas kods],Pamatbudžets!$C62,Tabula4[Summa: Tāmes'#Summa])</f>
        <v>52889</v>
      </c>
      <c r="I62" s="50">
        <f>SUMIF(Tabula2[Valdības funkcijas kods],Pamatbudžets!$B62,Tabula2[Summa: Tāmes'#Summa])+SUMIF(Tabula2[Valdības funkcijas kods],Pamatbudžets!$C62,Tabula2[Summa: Tāmes'#Summa])</f>
        <v>24260</v>
      </c>
      <c r="J62" s="202">
        <f>SUMIF(Tabula3[Valdības funkcijas kods],Pamatbudžets!$B62,Tabula3[Summa: Tāmes'#Summa])+SUMIF(Tabula3[Valdības funkcijas kods],Pamatbudžets!$C62,Tabula3[Summa: Tāmes'#Summa])</f>
        <v>0</v>
      </c>
      <c r="K62" s="181">
        <v>0</v>
      </c>
      <c r="N62" s="10"/>
    </row>
    <row r="63" spans="1:14" x14ac:dyDescent="0.25">
      <c r="A63" s="70" t="s">
        <v>76</v>
      </c>
      <c r="B63" s="15"/>
      <c r="C63" s="15"/>
      <c r="D63" s="118" t="s">
        <v>77</v>
      </c>
      <c r="E63" s="162">
        <f t="shared" si="1"/>
        <v>5421247</v>
      </c>
      <c r="F63" s="143">
        <f t="shared" ref="F63:K63" si="29">SUM(F64:F65,F71,F72:F73)</f>
        <v>5421247</v>
      </c>
      <c r="G63" s="81">
        <f t="shared" si="29"/>
        <v>2720289</v>
      </c>
      <c r="H63" s="46">
        <f t="shared" si="29"/>
        <v>632101</v>
      </c>
      <c r="I63" s="46">
        <f t="shared" si="29"/>
        <v>454499</v>
      </c>
      <c r="J63" s="193">
        <f t="shared" si="29"/>
        <v>1614358</v>
      </c>
      <c r="K63" s="178">
        <f t="shared" si="29"/>
        <v>0</v>
      </c>
      <c r="N63" s="10"/>
    </row>
    <row r="64" spans="1:14" x14ac:dyDescent="0.25">
      <c r="A64" s="63" t="s">
        <v>78</v>
      </c>
      <c r="B64" s="12" t="s">
        <v>113</v>
      </c>
      <c r="C64" s="12"/>
      <c r="D64" s="91" t="s">
        <v>206</v>
      </c>
      <c r="E64" s="169">
        <f t="shared" ref="E64:E73" si="30">F64</f>
        <v>614166</v>
      </c>
      <c r="F64" s="147">
        <f>G64+H64+I64+J64+K64</f>
        <v>614166</v>
      </c>
      <c r="G64" s="77">
        <f>SUMIF(Tabula1[Valdības funkcijas kods],Pamatbudžets!B64,Tabula1[Summa: Tāmes'#Summa])</f>
        <v>614166</v>
      </c>
      <c r="H64" s="50">
        <f>SUMIF(Tabula4[Valdības funkcijas kods],Pamatbudžets!$B64,Tabula4[Summa: Tāmes'#Summa])</f>
        <v>0</v>
      </c>
      <c r="I64" s="50">
        <f>SUMIF(Tabula2[Valdības funkcijas kods],Pamatbudžets!$B64,Tabula2[Summa: Tāmes'#Summa])</f>
        <v>0</v>
      </c>
      <c r="J64" s="202">
        <f>SUMIF(Tabula3[Valdības funkcijas kods],Pamatbudžets!$B64,Tabula3[Summa: Tāmes'#Summa])</f>
        <v>0</v>
      </c>
      <c r="K64" s="181">
        <v>0</v>
      </c>
      <c r="N64" s="10"/>
    </row>
    <row r="65" spans="1:24" x14ac:dyDescent="0.25">
      <c r="A65" s="63" t="s">
        <v>79</v>
      </c>
      <c r="B65" s="12"/>
      <c r="C65" s="12"/>
      <c r="D65" s="91" t="s">
        <v>207</v>
      </c>
      <c r="E65" s="169">
        <f t="shared" si="30"/>
        <v>4631266</v>
      </c>
      <c r="F65" s="147">
        <f t="shared" ref="F65:F73" si="31">G65+H65+I65+J65+K65</f>
        <v>4631266</v>
      </c>
      <c r="G65" s="77">
        <f>SUM(G66:G70)</f>
        <v>2041418</v>
      </c>
      <c r="H65" s="50">
        <f>SUM(H66:H70)+2178</f>
        <v>527391</v>
      </c>
      <c r="I65" s="50">
        <f t="shared" ref="I65" si="32">SUM(I66:I70)</f>
        <v>448099</v>
      </c>
      <c r="J65" s="202">
        <f>SUM(J66:J70)</f>
        <v>1614358</v>
      </c>
      <c r="K65" s="181">
        <v>0</v>
      </c>
      <c r="N65" s="10"/>
    </row>
    <row r="66" spans="1:24" hidden="1" outlineLevel="1" x14ac:dyDescent="0.25">
      <c r="A66" s="63"/>
      <c r="B66" s="12" t="s">
        <v>132</v>
      </c>
      <c r="C66" s="12"/>
      <c r="D66" s="124" t="s">
        <v>137</v>
      </c>
      <c r="E66" s="169">
        <f t="shared" si="30"/>
        <v>703241</v>
      </c>
      <c r="F66" s="147">
        <f t="shared" si="31"/>
        <v>703241</v>
      </c>
      <c r="G66" s="87">
        <f>SUMIF(Tabula1[Valdības funkcijas kods],Pamatbudžets!B66,Tabula1[Summa: Tāmes'#Summa])</f>
        <v>445990</v>
      </c>
      <c r="H66" s="55">
        <f>SUMIF(Tabula4[Valdības funkcijas kods],Pamatbudžets!$B66,Tabula4[Summa: Tāmes'#Summa])</f>
        <v>64266</v>
      </c>
      <c r="I66" s="55">
        <f>SUMIF(Tabula2[Valdības funkcijas kods],Pamatbudžets!$B66,Tabula2[Summa: Tāmes'#Summa])</f>
        <v>84667</v>
      </c>
      <c r="J66" s="204">
        <f>SUMIF(Tabula3[Valdības funkcijas kods],Pamatbudžets!$B66,Tabula3[Summa: Tāmes'#Summa])</f>
        <v>108318</v>
      </c>
      <c r="K66" s="181">
        <v>0</v>
      </c>
      <c r="N66" s="10"/>
    </row>
    <row r="67" spans="1:24" hidden="1" outlineLevel="1" x14ac:dyDescent="0.25">
      <c r="A67" s="63"/>
      <c r="B67" s="12" t="s">
        <v>133</v>
      </c>
      <c r="C67" s="12"/>
      <c r="D67" s="124" t="s">
        <v>138</v>
      </c>
      <c r="E67" s="169">
        <f t="shared" si="30"/>
        <v>1680298</v>
      </c>
      <c r="F67" s="147">
        <f t="shared" si="31"/>
        <v>1680298</v>
      </c>
      <c r="G67" s="87">
        <f>SUMIF(Tabula1[Valdības funkcijas kods],Pamatbudžets!B67,Tabula1[Summa: Tāmes'#Summa])</f>
        <v>265246</v>
      </c>
      <c r="H67" s="55">
        <f>SUMIF(Tabula4[Valdības funkcijas kods],Pamatbudžets!$B67,Tabula4[Summa: Tāmes'#Summa])</f>
        <v>0</v>
      </c>
      <c r="I67" s="55">
        <f>SUMIF(Tabula2[Valdības funkcijas kods],Pamatbudžets!$B67,Tabula2[Summa: Tāmes'#Summa])</f>
        <v>102547</v>
      </c>
      <c r="J67" s="204">
        <f>SUMIF(Tabula3[Valdības funkcijas kods],Pamatbudžets!$B67,Tabula3[Summa: Tāmes'#Summa])</f>
        <v>1312505</v>
      </c>
      <c r="K67" s="181">
        <v>0</v>
      </c>
      <c r="N67" s="10"/>
    </row>
    <row r="68" spans="1:24" hidden="1" outlineLevel="1" x14ac:dyDescent="0.25">
      <c r="A68" s="63"/>
      <c r="B68" s="12" t="s">
        <v>134</v>
      </c>
      <c r="C68" s="12"/>
      <c r="D68" s="124" t="s">
        <v>139</v>
      </c>
      <c r="E68" s="169">
        <f t="shared" si="30"/>
        <v>1822085</v>
      </c>
      <c r="F68" s="147">
        <f t="shared" si="31"/>
        <v>1822085</v>
      </c>
      <c r="G68" s="87">
        <f>SUMIF(Tabula1[Valdības funkcijas kods],Pamatbudžets!B68,Tabula1[Summa: Tāmes'#Summa])</f>
        <v>913758</v>
      </c>
      <c r="H68" s="55">
        <f>SUMIF(Tabula4[Valdības funkcijas kods],Pamatbudžets!$B68,Tabula4[Summa: Tāmes'#Summa])</f>
        <v>458787</v>
      </c>
      <c r="I68" s="55">
        <f>SUMIF(Tabula2[Valdības funkcijas kods],Pamatbudžets!$B68,Tabula2[Summa: Tāmes'#Summa])</f>
        <v>256005</v>
      </c>
      <c r="J68" s="204">
        <f>SUMIF(Tabula3[Valdības funkcijas kods],Pamatbudžets!$B68,Tabula3[Summa: Tāmes'#Summa])</f>
        <v>193535</v>
      </c>
      <c r="K68" s="181">
        <v>0</v>
      </c>
      <c r="N68" s="10"/>
    </row>
    <row r="69" spans="1:24" hidden="1" outlineLevel="1" x14ac:dyDescent="0.25">
      <c r="A69" s="63"/>
      <c r="B69" s="12" t="s">
        <v>135</v>
      </c>
      <c r="C69" s="12"/>
      <c r="D69" s="124" t="s">
        <v>140</v>
      </c>
      <c r="E69" s="169">
        <f t="shared" si="30"/>
        <v>338024</v>
      </c>
      <c r="F69" s="147">
        <f t="shared" si="31"/>
        <v>338024</v>
      </c>
      <c r="G69" s="87">
        <f>SUMIF(Tabula1[Valdības funkcijas kods],Pamatbudžets!B69,Tabula1[Summa: Tāmes'#Summa])</f>
        <v>338024</v>
      </c>
      <c r="H69" s="55">
        <f>SUMIF(Tabula4[Valdības funkcijas kods],Pamatbudžets!$B69,Tabula4[Summa: Tāmes'#Summa])</f>
        <v>0</v>
      </c>
      <c r="I69" s="55">
        <f>SUMIF(Tabula2[Valdības funkcijas kods],Pamatbudžets!$B69,Tabula2[Summa: Tāmes'#Summa])</f>
        <v>0</v>
      </c>
      <c r="J69" s="204">
        <f>SUMIF(Tabula3[Valdības funkcijas kods],Pamatbudžets!$B69,Tabula3[Summa: Tāmes'#Summa])</f>
        <v>0</v>
      </c>
      <c r="K69" s="181">
        <v>0</v>
      </c>
      <c r="N69" s="10"/>
    </row>
    <row r="70" spans="1:24" hidden="1" outlineLevel="1" x14ac:dyDescent="0.25">
      <c r="A70" s="63"/>
      <c r="B70" s="12" t="s">
        <v>136</v>
      </c>
      <c r="C70" s="12"/>
      <c r="D70" s="121" t="s">
        <v>141</v>
      </c>
      <c r="E70" s="169">
        <f t="shared" si="30"/>
        <v>85440</v>
      </c>
      <c r="F70" s="147">
        <f t="shared" si="31"/>
        <v>85440</v>
      </c>
      <c r="G70" s="87">
        <f>SUMIF(Tabula1[Valdības funkcijas kods],Pamatbudžets!B70,Tabula1[Summa: Tāmes'#Summa])</f>
        <v>78400</v>
      </c>
      <c r="H70" s="55">
        <f>SUMIF(Tabula4[Valdības funkcijas kods],Pamatbudžets!$B70,Tabula4[Summa: Tāmes'#Summa])</f>
        <v>2160</v>
      </c>
      <c r="I70" s="55">
        <f>SUMIF(Tabula2[Valdības funkcijas kods],Pamatbudžets!$B70,Tabula2[Summa: Tāmes'#Summa])</f>
        <v>4880</v>
      </c>
      <c r="J70" s="204">
        <f>SUMIF(Tabula3[Valdības funkcijas kods],Pamatbudžets!$B70,Tabula3[Summa: Tāmes'#Summa])</f>
        <v>0</v>
      </c>
      <c r="K70" s="181">
        <v>0</v>
      </c>
      <c r="N70" s="10"/>
    </row>
    <row r="71" spans="1:24" hidden="1" outlineLevel="1" x14ac:dyDescent="0.25">
      <c r="A71" s="71" t="s">
        <v>220</v>
      </c>
      <c r="B71" s="12" t="s">
        <v>221</v>
      </c>
      <c r="C71" s="12"/>
      <c r="D71" s="73" t="s">
        <v>222</v>
      </c>
      <c r="E71" s="169">
        <f t="shared" si="30"/>
        <v>6400</v>
      </c>
      <c r="F71" s="147">
        <f t="shared" si="31"/>
        <v>6400</v>
      </c>
      <c r="G71" s="77">
        <f>SUMIF(Tabula1[Valdības funkcijas kods],Pamatbudžets!B71,Tabula1[Summa: Tāmes'#Summa])</f>
        <v>0</v>
      </c>
      <c r="H71" s="50">
        <f>SUMIF(Tabula4[Valdības funkcijas kods],Pamatbudžets!$B71,Tabula4[Summa: Tāmes'#Summa])</f>
        <v>0</v>
      </c>
      <c r="I71" s="50">
        <f>SUMIF(Tabula2[Valdības funkcijas kods],Pamatbudžets!$B71,Tabula2[Summa: Tāmes'#Summa])</f>
        <v>6400</v>
      </c>
      <c r="J71" s="202">
        <f>SUMIF(Tabula3[Valdības funkcijas kods],Pamatbudžets!$B71,Tabula3[Summa: Tāmes'#Summa])</f>
        <v>0</v>
      </c>
      <c r="K71" s="181">
        <v>0</v>
      </c>
      <c r="N71" s="10"/>
    </row>
    <row r="72" spans="1:24" ht="30" collapsed="1" x14ac:dyDescent="0.25">
      <c r="A72" s="63" t="s">
        <v>80</v>
      </c>
      <c r="B72" s="12" t="s">
        <v>114</v>
      </c>
      <c r="C72" s="12"/>
      <c r="D72" s="116" t="s">
        <v>120</v>
      </c>
      <c r="E72" s="169">
        <f t="shared" si="30"/>
        <v>104954</v>
      </c>
      <c r="F72" s="147">
        <f t="shared" si="31"/>
        <v>104954</v>
      </c>
      <c r="G72" s="77">
        <f>SUMIF(Tabula1[Valdības funkcijas kods],Pamatbudžets!B72,Tabula1[Summa: Tāmes'#Summa])</f>
        <v>63405</v>
      </c>
      <c r="H72" s="50">
        <f>SUMIF(Tabula4[Valdības funkcijas kods],Pamatbudžets!$B72,Tabula4[Summa: Tāmes'#Summa])</f>
        <v>41549</v>
      </c>
      <c r="I72" s="50">
        <f>SUMIF(Tabula2[Valdības funkcijas kods],Pamatbudžets!$B72,Tabula2[Summa: Tāmes'#Summa])</f>
        <v>0</v>
      </c>
      <c r="J72" s="202">
        <f>SUMIF(Tabula3[Valdības funkcijas kods],Pamatbudžets!$B72,Tabula3[Summa: Tāmes'#Summa])</f>
        <v>0</v>
      </c>
      <c r="K72" s="181">
        <v>0</v>
      </c>
      <c r="N72" s="10"/>
    </row>
    <row r="73" spans="1:24" ht="30" x14ac:dyDescent="0.25">
      <c r="A73" s="63" t="s">
        <v>14</v>
      </c>
      <c r="B73" s="12" t="s">
        <v>142</v>
      </c>
      <c r="C73" s="12" t="s">
        <v>193</v>
      </c>
      <c r="D73" s="116" t="s">
        <v>121</v>
      </c>
      <c r="E73" s="169">
        <f t="shared" si="30"/>
        <v>64461</v>
      </c>
      <c r="F73" s="147">
        <f t="shared" si="31"/>
        <v>64461</v>
      </c>
      <c r="G73" s="77">
        <f>SUMIF(Tabula1[Valdības funkcijas kods],Pamatbudžets!B73,Tabula1[Summa: Tāmes'#Summa])</f>
        <v>1300</v>
      </c>
      <c r="H73" s="50">
        <f>SUMIF(Tabula4[Valdības funkcijas kods],Pamatbudžets!$B73,Tabula4[Summa: Tāmes'#Summa])+SUMIF(Tabula4[Valdības funkcijas kods],Pamatbudžets!$C73,Tabula4[Summa: Tāmes'#Summa])</f>
        <v>63161</v>
      </c>
      <c r="I73" s="50">
        <f>SUMIF(Tabula2[Valdības funkcijas kods],Pamatbudžets!$B73,Tabula2[Summa: Tāmes'#Summa])</f>
        <v>0</v>
      </c>
      <c r="J73" s="202">
        <f>SUMIF(Tabula3[Valdības funkcijas kods],Pamatbudžets!$B73,Tabula3[Summa: Tāmes'#Summa])</f>
        <v>0</v>
      </c>
      <c r="K73" s="181">
        <v>0</v>
      </c>
      <c r="N73" s="10"/>
    </row>
    <row r="74" spans="1:24" x14ac:dyDescent="0.25">
      <c r="A74" s="70" t="s">
        <v>81</v>
      </c>
      <c r="B74" s="15"/>
      <c r="C74" s="15"/>
      <c r="D74" s="122" t="s">
        <v>82</v>
      </c>
      <c r="E74" s="162">
        <f t="shared" ref="E74:E90" si="33">F74-K74</f>
        <v>19908972</v>
      </c>
      <c r="F74" s="143">
        <f>SUM(F75:F79)</f>
        <v>19908972</v>
      </c>
      <c r="G74" s="85">
        <f>SUM(G75:G79)</f>
        <v>14685633</v>
      </c>
      <c r="H74" s="44">
        <f t="shared" ref="H74:K74" si="34">SUM(H75:H79)</f>
        <v>1395218</v>
      </c>
      <c r="I74" s="46">
        <f t="shared" si="34"/>
        <v>1253655</v>
      </c>
      <c r="J74" s="199">
        <f t="shared" si="34"/>
        <v>2574466</v>
      </c>
      <c r="K74" s="176">
        <f t="shared" si="34"/>
        <v>0</v>
      </c>
      <c r="N74" s="10"/>
    </row>
    <row r="75" spans="1:24" x14ac:dyDescent="0.25">
      <c r="A75" s="63" t="s">
        <v>83</v>
      </c>
      <c r="B75" s="12" t="s">
        <v>115</v>
      </c>
      <c r="C75" s="12" t="s">
        <v>194</v>
      </c>
      <c r="D75" s="91" t="s">
        <v>208</v>
      </c>
      <c r="E75" s="169">
        <f t="shared" ref="E75:E79" si="35">F75</f>
        <v>4454145</v>
      </c>
      <c r="F75" s="147">
        <f>G75+H75+I75+J75+K75</f>
        <v>4454145</v>
      </c>
      <c r="G75" s="77">
        <f>SUMIF(Tabula1[Valdības funkcijas kods],Pamatbudžets!B75,Tabula1[Summa: Tāmes'#Summa])</f>
        <v>3738412</v>
      </c>
      <c r="H75" s="45">
        <f>SUMIF(Tabula4[Valdības funkcijas kods],Pamatbudžets!$B75,Tabula4[Summa: Tāmes'#Summa])+SUMIF(Tabula4[Valdības funkcijas kods],Pamatbudžets!$C75,Tabula4[Summa: Tāmes'#Summa])</f>
        <v>398207</v>
      </c>
      <c r="I75" s="50">
        <f>SUMIF(Tabula2[Valdības funkcijas kods],Pamatbudžets!$B75,Tabula2[Summa: Tāmes'#Summa])</f>
        <v>0</v>
      </c>
      <c r="J75" s="202">
        <f>SUMIF(Tabula3[Valdības funkcijas kods],Pamatbudžets!$B75,Tabula3[Summa: Tāmes'#Summa])</f>
        <v>317526</v>
      </c>
      <c r="K75" s="181">
        <v>0</v>
      </c>
      <c r="N75" s="10"/>
      <c r="X75" s="5"/>
    </row>
    <row r="76" spans="1:24" x14ac:dyDescent="0.25">
      <c r="A76" s="63" t="s">
        <v>84</v>
      </c>
      <c r="B76" s="12" t="s">
        <v>143</v>
      </c>
      <c r="C76" s="12" t="s">
        <v>195</v>
      </c>
      <c r="D76" s="91" t="s">
        <v>209</v>
      </c>
      <c r="E76" s="169">
        <f t="shared" si="35"/>
        <v>9083400</v>
      </c>
      <c r="F76" s="147">
        <f>G76+H76+I76+J76+K76</f>
        <v>9083400</v>
      </c>
      <c r="G76" s="77">
        <f>SUMIF(Tabula1[Valdības funkcijas kods],Pamatbudžets!B76,Tabula1[Summa: Tāmes'#Summa])</f>
        <v>5071035</v>
      </c>
      <c r="H76" s="45">
        <f>SUMIF(Tabula4[Valdības funkcijas kods],Pamatbudžets!$B76,Tabula4[Summa: Tāmes'#Summa])+SUMIF(Tabula4[Valdības funkcijas kods],Pamatbudžets!$C76,Tabula4[Summa: Tāmes'#Summa])</f>
        <v>818579</v>
      </c>
      <c r="I76" s="50">
        <f>SUMIF(Tabula2[Valdības funkcijas kods],Pamatbudžets!$B76,Tabula2[Summa: Tāmes'#Summa])</f>
        <v>1143161</v>
      </c>
      <c r="J76" s="202">
        <f>SUMIF(Tabula3[Valdības funkcijas kods],Pamatbudžets!$B76,Tabula3[Summa: Tāmes'#Summa])</f>
        <v>2050625</v>
      </c>
      <c r="K76" s="181">
        <v>0</v>
      </c>
      <c r="N76" s="10"/>
      <c r="W76" s="5"/>
    </row>
    <row r="77" spans="1:24" x14ac:dyDescent="0.25">
      <c r="A77" s="63" t="s">
        <v>17</v>
      </c>
      <c r="B77" s="12" t="s">
        <v>144</v>
      </c>
      <c r="C77" s="12" t="s">
        <v>158</v>
      </c>
      <c r="D77" s="91" t="s">
        <v>210</v>
      </c>
      <c r="E77" s="169">
        <f t="shared" si="35"/>
        <v>1798535</v>
      </c>
      <c r="F77" s="147">
        <f t="shared" ref="F77:F79" si="36">G77+H77+I77+J77+K77</f>
        <v>1798535</v>
      </c>
      <c r="G77" s="77">
        <f>SUMIF(Tabula1[Valdības funkcijas kods],Pamatbudžets!B77,Tabula1[Summa: Tāmes'#Summa])+SUMIF(Tabula1[Valdības funkcijas kods],Pamatbudžets!C77,Tabula1[Summa: Tāmes'#Summa])</f>
        <v>1482201</v>
      </c>
      <c r="H77" s="45">
        <f>SUMIF(Tabula4[Valdības funkcijas kods],Pamatbudžets!$B77,Tabula4[Summa: Tāmes'#Summa])+SUMIF(Tabula4[Valdības funkcijas kods],Pamatbudžets!$C77,Tabula4[Summa: Tāmes'#Summa])</f>
        <v>69669</v>
      </c>
      <c r="I77" s="50">
        <f>SUMIF(Tabula2[Valdības funkcijas kods],Pamatbudžets!$B77,Tabula2[Summa: Tāmes'#Summa])+SUMIF(Tabula2[Valdības funkcijas kods],Pamatbudžets!$C77,Tabula2[Summa: Tāmes'#Summa])</f>
        <v>110494</v>
      </c>
      <c r="J77" s="202">
        <f>SUMIF(Tabula3[Valdības funkcijas kods],Pamatbudžets!$B77,Tabula3[Summa: Tāmes'#Summa])+SUMIF(Tabula3[Valdības funkcijas kods],Pamatbudžets!$C77,Tabula3[Summa: Tāmes'#Summa])</f>
        <v>136171</v>
      </c>
      <c r="K77" s="181">
        <v>0</v>
      </c>
      <c r="N77" s="10"/>
      <c r="W77" s="13"/>
    </row>
    <row r="78" spans="1:24" x14ac:dyDescent="0.25">
      <c r="A78" s="63" t="s">
        <v>85</v>
      </c>
      <c r="B78" s="12" t="s">
        <v>125</v>
      </c>
      <c r="C78" s="12"/>
      <c r="D78" s="91" t="s">
        <v>211</v>
      </c>
      <c r="E78" s="169">
        <f t="shared" si="35"/>
        <v>868920</v>
      </c>
      <c r="F78" s="147">
        <f t="shared" si="36"/>
        <v>868920</v>
      </c>
      <c r="G78" s="77">
        <f>SUMIF(Tabula1[Valdības funkcijas kods],Pamatbudžets!B78,Tabula1[Summa: Tāmes'#Summa])</f>
        <v>779094</v>
      </c>
      <c r="H78" s="45">
        <f>SUMIF(Tabula4[Valdības funkcijas kods],Pamatbudžets!$B78,Tabula4[Summa: Tāmes'#Summa])</f>
        <v>19682</v>
      </c>
      <c r="I78" s="45">
        <f>SUMIF(Tabula2[Valdības funkcijas kods],Pamatbudžets!$B78,Tabula2[Summa: Tāmes'#Summa])</f>
        <v>0</v>
      </c>
      <c r="J78" s="202">
        <f>SUMIF(Tabula3[Valdības funkcijas kods],Pamatbudžets!$B78,Tabula3[Summa: Tāmes'#Summa])</f>
        <v>70144</v>
      </c>
      <c r="K78" s="181">
        <v>0</v>
      </c>
      <c r="N78" s="10"/>
      <c r="W78" s="13"/>
    </row>
    <row r="79" spans="1:24" x14ac:dyDescent="0.25">
      <c r="A79" s="63" t="s">
        <v>86</v>
      </c>
      <c r="B79" s="12" t="s">
        <v>145</v>
      </c>
      <c r="C79" s="12" t="s">
        <v>146</v>
      </c>
      <c r="D79" s="91" t="s">
        <v>212</v>
      </c>
      <c r="E79" s="169">
        <f t="shared" si="35"/>
        <v>3703972</v>
      </c>
      <c r="F79" s="147">
        <f t="shared" si="36"/>
        <v>3703972</v>
      </c>
      <c r="G79" s="77">
        <f>SUMIF(Tabula1[Valdības funkcijas kods],Pamatbudžets!B79,Tabula1[Summa: Tāmes'#Summa])+SUMIF(Tabula1[Valdības funkcijas kods],Pamatbudžets!C79,Tabula1[Summa: Tāmes'#Summa])</f>
        <v>3614891</v>
      </c>
      <c r="H79" s="45">
        <f>SUMIF(Tabula4[Valdības funkcijas kods],Pamatbudžets!$B79,Tabula4[Summa: Tāmes'#Summa])+SUMIF(Tabula4[Valdības funkcijas kods],Pamatbudžets!$C79,Tabula4[Summa: Tāmes'#Summa])</f>
        <v>89081</v>
      </c>
      <c r="I79" s="45">
        <f>SUMIF(Tabula2[Valdības funkcijas kods],Pamatbudžets!$B79,Tabula2[Summa: Tāmes'#Summa])+SUMIF(Tabula2[Valdības funkcijas kods],Pamatbudžets!$C79,Tabula2[Summa: Tāmes'#Summa])</f>
        <v>0</v>
      </c>
      <c r="J79" s="202">
        <f>SUMIF(Tabula3[Valdības funkcijas kods],Pamatbudžets!$B79,Tabula3[Summa: Tāmes'#Summa])+SUMIF(Tabula3[Valdības funkcijas kods],Pamatbudžets!$C79,Tabula3[Summa: Tāmes'#Summa])</f>
        <v>0</v>
      </c>
      <c r="K79" s="181">
        <v>0</v>
      </c>
      <c r="N79" s="10"/>
      <c r="W79" s="13"/>
    </row>
    <row r="80" spans="1:24" x14ac:dyDescent="0.25">
      <c r="A80" s="70" t="s">
        <v>87</v>
      </c>
      <c r="B80" s="15"/>
      <c r="C80" s="15"/>
      <c r="D80" s="122" t="s">
        <v>88</v>
      </c>
      <c r="E80" s="162">
        <f>F80-K80</f>
        <v>6001874</v>
      </c>
      <c r="F80" s="143">
        <f>SUM(F81:F85)</f>
        <v>6001874</v>
      </c>
      <c r="G80" s="85">
        <f t="shared" ref="G80" si="37">SUM(G81:G85)</f>
        <v>3665333</v>
      </c>
      <c r="H80" s="44">
        <f>SUM(H81:H85)</f>
        <v>639978</v>
      </c>
      <c r="I80" s="44">
        <f t="shared" ref="I80:K80" si="38">SUM(I81:I85)</f>
        <v>1330225</v>
      </c>
      <c r="J80" s="199">
        <f t="shared" si="38"/>
        <v>366338</v>
      </c>
      <c r="K80" s="176">
        <f t="shared" si="38"/>
        <v>0</v>
      </c>
      <c r="N80" s="9"/>
    </row>
    <row r="81" spans="1:14" x14ac:dyDescent="0.25">
      <c r="A81" s="71" t="s">
        <v>197</v>
      </c>
      <c r="B81" s="40" t="s">
        <v>188</v>
      </c>
      <c r="C81" s="15"/>
      <c r="D81" s="125" t="s">
        <v>196</v>
      </c>
      <c r="E81" s="169">
        <f t="shared" ref="E81:E85" si="39">F81</f>
        <v>24149</v>
      </c>
      <c r="F81" s="147">
        <f>G81+H81+I81+J81+K81</f>
        <v>24149</v>
      </c>
      <c r="G81" s="77">
        <f>SUMIF(Tabula1[Valdības funkcijas kods],Pamatbudžets!B81,Tabula1[Summa: Tāmes'#Summa])</f>
        <v>0</v>
      </c>
      <c r="H81" s="45">
        <f>SUMIF(Tabula4[Valdības funkcijas kods],Pamatbudžets!$B81,Tabula4[Summa: Tāmes'#Summa])</f>
        <v>24149</v>
      </c>
      <c r="I81" s="45">
        <f>SUMIF(Tabula2[Valdības funkcijas kods],Pamatbudžets!$B81,Tabula2[Summa: Tāmes'#Summa])</f>
        <v>0</v>
      </c>
      <c r="J81" s="202">
        <f>SUMIF(Tabula3[Valdības funkcijas kods],Pamatbudžets!$B81,Tabula3[Summa: Tāmes'#Summa])</f>
        <v>0</v>
      </c>
      <c r="K81" s="181">
        <v>0</v>
      </c>
      <c r="N81" s="9"/>
    </row>
    <row r="82" spans="1:14" x14ac:dyDescent="0.25">
      <c r="A82" s="63" t="s">
        <v>89</v>
      </c>
      <c r="B82" s="35" t="s">
        <v>126</v>
      </c>
      <c r="C82" s="12"/>
      <c r="D82" s="74" t="s">
        <v>213</v>
      </c>
      <c r="E82" s="169">
        <f t="shared" si="39"/>
        <v>1742906</v>
      </c>
      <c r="F82" s="147">
        <f t="shared" ref="F82:F85" si="40">G82+H82+I82+J82+K82</f>
        <v>1742906</v>
      </c>
      <c r="G82" s="77">
        <f>SUMIF(Tabula1[Valdības funkcijas kods],Pamatbudžets!B82,Tabula1[Summa: Tāmes'#Summa])</f>
        <v>1376388</v>
      </c>
      <c r="H82" s="45">
        <f>SUMIF(Tabula4[Valdības funkcijas kods],Pamatbudžets!$B82,Tabula4[Summa: Tāmes'#Summa])</f>
        <v>366518</v>
      </c>
      <c r="I82" s="45">
        <f>SUMIF(Tabula2[Valdības funkcijas kods],Pamatbudžets!$B82,Tabula2[Summa: Tāmes'#Summa])</f>
        <v>0</v>
      </c>
      <c r="J82" s="202">
        <f>SUMIF(Tabula3[Valdības funkcijas kods],Pamatbudžets!$B82,Tabula3[Summa: Tāmes'#Summa])</f>
        <v>0</v>
      </c>
      <c r="K82" s="181">
        <v>0</v>
      </c>
      <c r="N82" s="10"/>
    </row>
    <row r="83" spans="1:14" x14ac:dyDescent="0.25">
      <c r="A83" s="63" t="s">
        <v>90</v>
      </c>
      <c r="B83" s="12" t="s">
        <v>127</v>
      </c>
      <c r="C83" s="12"/>
      <c r="D83" s="91" t="s">
        <v>214</v>
      </c>
      <c r="E83" s="169">
        <f t="shared" si="39"/>
        <v>421500</v>
      </c>
      <c r="F83" s="147">
        <f t="shared" si="40"/>
        <v>421500</v>
      </c>
      <c r="G83" s="77">
        <f>SUMIF(Tabula1[Valdības funkcijas kods],Pamatbudžets!B83,Tabula1[Summa: Tāmes'#Summa])</f>
        <v>213896</v>
      </c>
      <c r="H83" s="45">
        <f>SUMIF(Tabula4[Valdības funkcijas kods],Pamatbudžets!$B83,Tabula4[Summa: Tāmes'#Summa])</f>
        <v>70234</v>
      </c>
      <c r="I83" s="45">
        <f>SUMIF(Tabula2[Valdības funkcijas kods],Pamatbudžets!$B83,Tabula2[Summa: Tāmes'#Summa])</f>
        <v>100580</v>
      </c>
      <c r="J83" s="202">
        <f>SUMIF(Tabula3[Valdības funkcijas kods],Pamatbudžets!$B83,Tabula3[Summa: Tāmes'#Summa])</f>
        <v>36790</v>
      </c>
      <c r="K83" s="181">
        <v>0</v>
      </c>
      <c r="N83" s="10"/>
    </row>
    <row r="84" spans="1:14" ht="30" x14ac:dyDescent="0.25">
      <c r="A84" s="63" t="s">
        <v>91</v>
      </c>
      <c r="B84" s="12" t="s">
        <v>128</v>
      </c>
      <c r="C84" s="12"/>
      <c r="D84" s="116" t="s">
        <v>215</v>
      </c>
      <c r="E84" s="169">
        <f t="shared" si="39"/>
        <v>2708036</v>
      </c>
      <c r="F84" s="147">
        <f t="shared" si="40"/>
        <v>2708036</v>
      </c>
      <c r="G84" s="77">
        <f>SUMIF(Tabula1[Valdības funkcijas kods],Pamatbudžets!B84,Tabula1[Summa: Tāmes'#Summa])</f>
        <v>1048069</v>
      </c>
      <c r="H84" s="45">
        <f>SUMIF(Tabula4[Valdības funkcijas kods],Pamatbudžets!$B84,Tabula4[Summa: Tāmes'#Summa])</f>
        <v>100774</v>
      </c>
      <c r="I84" s="45">
        <f>SUMIF(Tabula2[Valdības funkcijas kods],Pamatbudžets!$B84,Tabula2[Summa: Tāmes'#Summa])</f>
        <v>1229645</v>
      </c>
      <c r="J84" s="202">
        <f>SUMIF(Tabula3[Valdības funkcijas kods],Pamatbudžets!$B84,Tabula3[Summa: Tāmes'#Summa])</f>
        <v>329548</v>
      </c>
      <c r="K84" s="181">
        <v>0</v>
      </c>
      <c r="N84" s="10"/>
    </row>
    <row r="85" spans="1:14" x14ac:dyDescent="0.25">
      <c r="A85" s="63" t="s">
        <v>92</v>
      </c>
      <c r="B85" s="12" t="s">
        <v>147</v>
      </c>
      <c r="C85" s="12" t="s">
        <v>148</v>
      </c>
      <c r="D85" s="91" t="s">
        <v>216</v>
      </c>
      <c r="E85" s="169">
        <f t="shared" si="39"/>
        <v>1105283</v>
      </c>
      <c r="F85" s="147">
        <f t="shared" si="40"/>
        <v>1105283</v>
      </c>
      <c r="G85" s="77">
        <f>SUMIF(Tabula1[Valdības funkcijas kods],Pamatbudžets!B85,Tabula1[Summa: Tāmes'#Summa])+SUMIF(Tabula1[Valdības funkcijas kods],Pamatbudžets!C85,Tabula1[Summa: Tāmes'#Summa])</f>
        <v>1026980</v>
      </c>
      <c r="H85" s="45">
        <f>SUMIF(Tabula4[Valdības funkcijas kods],Pamatbudžets!$B85,Tabula4[Summa: Tāmes'#Summa])+SUMIF(Tabula4[Valdības funkcijas kods],Pamatbudžets!$C85,Tabula4[Summa: Tāmes'#Summa])</f>
        <v>78303</v>
      </c>
      <c r="I85" s="45">
        <f>SUMIF(Tabula2[Valdības funkcijas kods],Pamatbudžets!$B85,Tabula2[Summa: Tāmes'#Summa])+SUMIF(Tabula2[Valdības funkcijas kods],Pamatbudžets!$C85,Tabula2[Summa: Tāmes'#Summa])</f>
        <v>0</v>
      </c>
      <c r="J85" s="202">
        <f>SUMIF(Tabula3[Valdības funkcijas kods],Pamatbudžets!$B85,Tabula3[Summa: Tāmes'#Summa])+SUMIF(Tabula3[Valdības funkcijas kods],Pamatbudžets!$C85,Tabula3[Summa: Tāmes'#Summa])</f>
        <v>0</v>
      </c>
      <c r="K85" s="181">
        <v>0</v>
      </c>
      <c r="N85" s="10"/>
    </row>
    <row r="86" spans="1:14" ht="15.75" x14ac:dyDescent="0.25">
      <c r="A86" s="134"/>
      <c r="B86" s="135"/>
      <c r="C86" s="135"/>
      <c r="D86" s="136" t="s">
        <v>180</v>
      </c>
      <c r="E86" s="168">
        <f t="shared" si="33"/>
        <v>561402</v>
      </c>
      <c r="F86" s="149">
        <f>F87+F88</f>
        <v>561402</v>
      </c>
      <c r="G86" s="97">
        <f>G87+G88</f>
        <v>1425603</v>
      </c>
      <c r="H86" s="98">
        <f>H87+H88</f>
        <v>-160440</v>
      </c>
      <c r="I86" s="99">
        <f t="shared" ref="I86:K86" si="41">I87+I88</f>
        <v>208434</v>
      </c>
      <c r="J86" s="188">
        <f t="shared" si="41"/>
        <v>-912195</v>
      </c>
      <c r="K86" s="173">
        <f t="shared" si="41"/>
        <v>0</v>
      </c>
      <c r="N86" s="10"/>
    </row>
    <row r="87" spans="1:14" x14ac:dyDescent="0.25">
      <c r="A87" s="75" t="s">
        <v>93</v>
      </c>
      <c r="B87" s="17"/>
      <c r="C87" s="17"/>
      <c r="D87" s="91" t="s">
        <v>217</v>
      </c>
      <c r="E87" s="169">
        <f>F87</f>
        <v>507902</v>
      </c>
      <c r="F87" s="150">
        <f>G87+H87+I87+J87</f>
        <v>507902</v>
      </c>
      <c r="G87" s="88">
        <f>-1531807+2903910</f>
        <v>1372103</v>
      </c>
      <c r="H87" s="56">
        <v>-160440</v>
      </c>
      <c r="I87" s="52">
        <v>208434</v>
      </c>
      <c r="J87" s="205">
        <v>-912195</v>
      </c>
      <c r="K87" s="181">
        <v>0</v>
      </c>
      <c r="N87" s="10"/>
    </row>
    <row r="88" spans="1:14" x14ac:dyDescent="0.25">
      <c r="A88" s="75"/>
      <c r="B88" s="17"/>
      <c r="C88" s="17"/>
      <c r="D88" s="91" t="s">
        <v>159</v>
      </c>
      <c r="E88" s="166">
        <f>F88</f>
        <v>53500</v>
      </c>
      <c r="F88" s="147">
        <f>G88+H88+I88+J88</f>
        <v>53500</v>
      </c>
      <c r="G88" s="89">
        <v>53500</v>
      </c>
      <c r="H88" s="56">
        <v>0</v>
      </c>
      <c r="I88" s="52">
        <v>0</v>
      </c>
      <c r="J88" s="205">
        <v>0</v>
      </c>
      <c r="K88" s="181">
        <v>0</v>
      </c>
      <c r="N88" s="10"/>
    </row>
    <row r="89" spans="1:14" x14ac:dyDescent="0.25">
      <c r="A89" s="63"/>
      <c r="B89" s="12"/>
      <c r="C89" s="12"/>
      <c r="D89" s="122" t="s">
        <v>94</v>
      </c>
      <c r="E89" s="164">
        <f t="shared" si="33"/>
        <v>44206437</v>
      </c>
      <c r="F89" s="145">
        <f>F30+F86</f>
        <v>47499048</v>
      </c>
      <c r="G89" s="100">
        <f>G31+G38+G42+G50+G55+G61+G63+G74+G80+G86</f>
        <v>34979248</v>
      </c>
      <c r="H89" s="46">
        <f>H31+H38+H42+H50+H55+H61+H63+H74+H80+H86</f>
        <v>3374877</v>
      </c>
      <c r="I89" s="46">
        <f>I31+I38+I42+I50+I55+I61+I63+I74+I80+I86</f>
        <v>4841447</v>
      </c>
      <c r="J89" s="193">
        <f>J31+J38+J42+J50+J55+J61+J63+J74+J80+J86</f>
        <v>4303476</v>
      </c>
      <c r="K89" s="178">
        <f>K31+K38+K42+K50+K55+K61+K63+K74+K80+K86</f>
        <v>3292611</v>
      </c>
    </row>
    <row r="90" spans="1:14" ht="16.5" thickBot="1" x14ac:dyDescent="0.3">
      <c r="A90" s="137"/>
      <c r="B90" s="132"/>
      <c r="C90" s="132"/>
      <c r="D90" s="155" t="s">
        <v>229</v>
      </c>
      <c r="E90" s="170">
        <f t="shared" si="33"/>
        <v>1836926</v>
      </c>
      <c r="F90" s="151">
        <f t="shared" ref="F90:K90" si="42">F8-F89</f>
        <v>1836926</v>
      </c>
      <c r="G90" s="101">
        <f t="shared" si="42"/>
        <v>1676356</v>
      </c>
      <c r="H90" s="102">
        <f t="shared" si="42"/>
        <v>127028</v>
      </c>
      <c r="I90" s="102">
        <f t="shared" si="42"/>
        <v>0</v>
      </c>
      <c r="J90" s="206">
        <f t="shared" si="42"/>
        <v>33542</v>
      </c>
      <c r="K90" s="184">
        <f t="shared" si="42"/>
        <v>0</v>
      </c>
      <c r="L90" s="6"/>
    </row>
    <row r="92" spans="1:14" x14ac:dyDescent="0.25">
      <c r="L92" s="6"/>
    </row>
    <row r="93" spans="1:14" x14ac:dyDescent="0.25">
      <c r="G93" s="6"/>
    </row>
    <row r="95" spans="1:14" hidden="1" x14ac:dyDescent="0.25">
      <c r="D95" s="36" t="s">
        <v>232</v>
      </c>
    </row>
    <row r="96" spans="1:14" ht="30" hidden="1" x14ac:dyDescent="0.25">
      <c r="D96" s="37"/>
      <c r="E96" s="128"/>
      <c r="F96" s="27" t="s">
        <v>167</v>
      </c>
      <c r="G96" s="27" t="s">
        <v>161</v>
      </c>
      <c r="H96" s="27" t="s">
        <v>162</v>
      </c>
      <c r="I96" s="27" t="s">
        <v>93</v>
      </c>
      <c r="J96" s="28" t="s">
        <v>166</v>
      </c>
    </row>
    <row r="97" spans="4:10" hidden="1" x14ac:dyDescent="0.25">
      <c r="D97" s="7" t="s">
        <v>160</v>
      </c>
      <c r="E97" s="129"/>
      <c r="F97" s="37">
        <v>6519718</v>
      </c>
      <c r="G97" s="37">
        <v>26843375</v>
      </c>
      <c r="H97" s="37">
        <v>30261134</v>
      </c>
      <c r="I97" s="37">
        <v>1684053</v>
      </c>
      <c r="J97" s="29">
        <f>F97+G97-H97-I97</f>
        <v>1417906</v>
      </c>
    </row>
    <row r="98" spans="4:10" hidden="1" x14ac:dyDescent="0.25">
      <c r="D98" s="7" t="s">
        <v>163</v>
      </c>
      <c r="E98" s="129"/>
      <c r="F98" s="37">
        <v>1057019</v>
      </c>
      <c r="G98" s="37">
        <v>3784428</v>
      </c>
      <c r="H98" s="37">
        <v>4633013</v>
      </c>
      <c r="I98" s="37">
        <v>208434</v>
      </c>
      <c r="J98" s="29">
        <f>F98+G98-H98-I98</f>
        <v>0</v>
      </c>
    </row>
    <row r="99" spans="4:10" hidden="1" x14ac:dyDescent="0.25">
      <c r="D99" s="7" t="s">
        <v>164</v>
      </c>
      <c r="E99" s="129"/>
      <c r="F99" s="29">
        <v>1111261</v>
      </c>
      <c r="G99" s="37">
        <v>3225757</v>
      </c>
      <c r="H99" s="37">
        <v>5215671</v>
      </c>
      <c r="I99" s="37">
        <v>-912195</v>
      </c>
      <c r="J99" s="29">
        <f>F99+G99-H99-I99</f>
        <v>33542</v>
      </c>
    </row>
    <row r="100" spans="4:10" hidden="1" x14ac:dyDescent="0.25">
      <c r="D100" s="7" t="s">
        <v>165</v>
      </c>
      <c r="E100" s="129"/>
      <c r="F100" s="37">
        <v>754518</v>
      </c>
      <c r="G100" s="37">
        <v>2747387</v>
      </c>
      <c r="H100" s="37">
        <v>3533139</v>
      </c>
      <c r="I100" s="37">
        <f>59531-219971</f>
        <v>-160440</v>
      </c>
      <c r="J100" s="29">
        <f>F100+G100-H100-I100</f>
        <v>129206</v>
      </c>
    </row>
    <row r="101" spans="4:10" hidden="1" x14ac:dyDescent="0.25">
      <c r="F101" s="36">
        <f t="shared" ref="F101:I101" si="43">SUM(F97:F100)</f>
        <v>9442516</v>
      </c>
      <c r="G101" s="36">
        <f t="shared" si="43"/>
        <v>36600947</v>
      </c>
      <c r="H101" s="36">
        <f t="shared" si="43"/>
        <v>43642957</v>
      </c>
      <c r="I101" s="36">
        <f t="shared" si="43"/>
        <v>819852</v>
      </c>
      <c r="J101" s="34">
        <f>SUM(J97:J100)</f>
        <v>1580654</v>
      </c>
    </row>
    <row r="102" spans="4:10" hidden="1" x14ac:dyDescent="0.25"/>
    <row r="103" spans="4:10" hidden="1" x14ac:dyDescent="0.25"/>
    <row r="104" spans="4:10" hidden="1" x14ac:dyDescent="0.25">
      <c r="F104" s="37"/>
      <c r="J104" s="29"/>
    </row>
    <row r="105" spans="4:10" hidden="1" x14ac:dyDescent="0.25"/>
    <row r="106" spans="4:10" hidden="1" x14ac:dyDescent="0.25"/>
  </sheetData>
  <pageMargins left="0.7" right="0.7" top="0.75" bottom="0.75" header="0.3" footer="0.3"/>
  <pageSetup paperSize="9" scale="4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D15" sqref="D15"/>
    </sheetView>
  </sheetViews>
  <sheetFormatPr defaultRowHeight="15" x14ac:dyDescent="0.25"/>
  <cols>
    <col min="1" max="1" width="32.140625" customWidth="1"/>
    <col min="2" max="2" width="13" customWidth="1"/>
    <col min="3" max="3" width="12.28515625" customWidth="1"/>
    <col min="4" max="4" width="11.28515625" customWidth="1"/>
  </cols>
  <sheetData>
    <row r="1" spans="1:6" x14ac:dyDescent="0.25">
      <c r="A1" t="s">
        <v>93</v>
      </c>
    </row>
    <row r="2" spans="1:6" x14ac:dyDescent="0.25">
      <c r="B2" t="s">
        <v>226</v>
      </c>
      <c r="C2" t="s">
        <v>171</v>
      </c>
      <c r="D2" t="s">
        <v>172</v>
      </c>
      <c r="E2" t="s">
        <v>173</v>
      </c>
      <c r="F2" t="s">
        <v>246</v>
      </c>
    </row>
    <row r="3" spans="1:6" x14ac:dyDescent="0.25">
      <c r="A3" t="s">
        <v>248</v>
      </c>
      <c r="B3">
        <v>1531807</v>
      </c>
      <c r="C3">
        <v>219971</v>
      </c>
      <c r="D3">
        <v>55075</v>
      </c>
      <c r="E3">
        <v>1403224</v>
      </c>
      <c r="F3">
        <f>SUM(B3:E3)</f>
        <v>3210077</v>
      </c>
    </row>
    <row r="4" spans="1:6" x14ac:dyDescent="0.25">
      <c r="A4" t="s">
        <v>249</v>
      </c>
      <c r="B4">
        <v>2903910</v>
      </c>
      <c r="C4">
        <v>59531</v>
      </c>
      <c r="D4">
        <v>263509</v>
      </c>
      <c r="E4">
        <v>491029</v>
      </c>
      <c r="F4">
        <f>SUM(B4:E4)</f>
        <v>3717979</v>
      </c>
    </row>
    <row r="5" spans="1:6" x14ac:dyDescent="0.25">
      <c r="A5" t="s">
        <v>159</v>
      </c>
      <c r="B5">
        <v>53500</v>
      </c>
      <c r="C5">
        <v>0</v>
      </c>
      <c r="D5">
        <v>0</v>
      </c>
      <c r="E5">
        <v>0</v>
      </c>
      <c r="F5">
        <v>53500</v>
      </c>
    </row>
    <row r="6" spans="1:6" x14ac:dyDescent="0.25">
      <c r="A6" s="5" t="s">
        <v>247</v>
      </c>
      <c r="B6" s="5">
        <f>B3-B4-B5</f>
        <v>-1425603</v>
      </c>
      <c r="C6" s="208">
        <f>C3-C4-C5</f>
        <v>160440</v>
      </c>
      <c r="D6" s="5">
        <f>D3-D4-D5</f>
        <v>-208434</v>
      </c>
      <c r="E6" s="5">
        <f>E3-E4-E5</f>
        <v>912195</v>
      </c>
      <c r="F6" s="5">
        <f>SUM(B6:E6)</f>
        <v>-561402</v>
      </c>
    </row>
    <row r="15" spans="1:6" x14ac:dyDescent="0.25">
      <c r="A15" s="37" t="s">
        <v>250</v>
      </c>
      <c r="B15" s="37" t="s">
        <v>161</v>
      </c>
      <c r="C15" s="37" t="s">
        <v>251</v>
      </c>
      <c r="D15" s="37" t="s">
        <v>246</v>
      </c>
    </row>
    <row r="16" spans="1:6" x14ac:dyDescent="0.25">
      <c r="A16" s="37" t="s">
        <v>252</v>
      </c>
      <c r="B16" s="37">
        <v>30135886</v>
      </c>
      <c r="C16" s="37">
        <v>-3292611</v>
      </c>
      <c r="D16" s="37">
        <f>B16+C16</f>
        <v>26843275</v>
      </c>
    </row>
    <row r="17" spans="1:4" x14ac:dyDescent="0.25">
      <c r="A17" s="37" t="s">
        <v>253</v>
      </c>
      <c r="B17" s="37">
        <f>D17-C17</f>
        <v>1726446</v>
      </c>
      <c r="C17" s="37">
        <v>1020941</v>
      </c>
      <c r="D17" s="37">
        <v>2747387</v>
      </c>
    </row>
    <row r="18" spans="1:4" x14ac:dyDescent="0.25">
      <c r="A18" s="37" t="s">
        <v>254</v>
      </c>
      <c r="B18" s="37">
        <f t="shared" ref="B18:B19" si="0">D18-C18</f>
        <v>2533075</v>
      </c>
      <c r="C18" s="37">
        <v>1251353</v>
      </c>
      <c r="D18" s="37">
        <v>3784428</v>
      </c>
    </row>
    <row r="19" spans="1:4" x14ac:dyDescent="0.25">
      <c r="A19" s="37" t="s">
        <v>255</v>
      </c>
      <c r="B19" s="37">
        <f t="shared" si="0"/>
        <v>2205440</v>
      </c>
      <c r="C19" s="37">
        <v>1020317</v>
      </c>
      <c r="D19" s="37">
        <v>3225757</v>
      </c>
    </row>
    <row r="20" spans="1:4" x14ac:dyDescent="0.25">
      <c r="A20" s="37" t="s">
        <v>246</v>
      </c>
      <c r="B20" s="37">
        <f>SUM(B16:B19)</f>
        <v>36600847</v>
      </c>
      <c r="C20" s="37">
        <f>SUM(C16:C19)</f>
        <v>0</v>
      </c>
      <c r="D20" s="37">
        <f>SUM(D16:D19)</f>
        <v>36600847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"/>
  <sheetViews>
    <sheetView topLeftCell="A17" workbookViewId="0">
      <selection activeCell="D15" sqref="D15"/>
    </sheetView>
  </sheetViews>
  <sheetFormatPr defaultRowHeight="15" x14ac:dyDescent="0.25"/>
  <cols>
    <col min="2" max="2" width="0.28515625" customWidth="1"/>
    <col min="3" max="3" width="9.140625" hidden="1" customWidth="1"/>
    <col min="4" max="4" width="41.5703125" customWidth="1"/>
    <col min="6" max="6" width="8.140625" customWidth="1"/>
  </cols>
  <sheetData>
    <row r="1" spans="1:5" x14ac:dyDescent="0.25">
      <c r="D1" t="s">
        <v>5</v>
      </c>
      <c r="E1">
        <v>15590525</v>
      </c>
    </row>
    <row r="2" spans="1:5" x14ac:dyDescent="0.25">
      <c r="A2" t="s">
        <v>13</v>
      </c>
      <c r="D2" t="s">
        <v>15</v>
      </c>
      <c r="E2">
        <v>2343</v>
      </c>
    </row>
    <row r="3" spans="1:5" x14ac:dyDescent="0.25">
      <c r="A3" t="s">
        <v>16</v>
      </c>
      <c r="D3" t="s">
        <v>18</v>
      </c>
      <c r="E3">
        <v>18284</v>
      </c>
    </row>
    <row r="4" spans="1:5" x14ac:dyDescent="0.25">
      <c r="A4" t="s">
        <v>19</v>
      </c>
      <c r="D4" t="s">
        <v>20</v>
      </c>
      <c r="E4">
        <v>2160</v>
      </c>
    </row>
    <row r="5" spans="1:5" x14ac:dyDescent="0.25">
      <c r="A5" t="s">
        <v>21</v>
      </c>
      <c r="D5" t="s">
        <v>22</v>
      </c>
      <c r="E5">
        <v>22522</v>
      </c>
    </row>
    <row r="6" spans="1:5" x14ac:dyDescent="0.25">
      <c r="A6" t="s">
        <v>23</v>
      </c>
      <c r="D6" t="s">
        <v>24</v>
      </c>
      <c r="E6">
        <v>114371</v>
      </c>
    </row>
    <row r="7" spans="1:5" x14ac:dyDescent="0.25">
      <c r="A7" t="s">
        <v>218</v>
      </c>
      <c r="D7" t="s">
        <v>219</v>
      </c>
      <c r="E7">
        <v>7760</v>
      </c>
    </row>
    <row r="8" spans="1:5" x14ac:dyDescent="0.25">
      <c r="A8" t="s">
        <v>25</v>
      </c>
      <c r="D8" t="s">
        <v>26</v>
      </c>
      <c r="E8">
        <v>17691092</v>
      </c>
    </row>
    <row r="9" spans="1:5" x14ac:dyDescent="0.25">
      <c r="A9" t="s">
        <v>31</v>
      </c>
      <c r="D9" t="s">
        <v>32</v>
      </c>
      <c r="E9">
        <v>1303900</v>
      </c>
    </row>
    <row r="10" spans="1:5" x14ac:dyDescent="0.25">
      <c r="A10" t="s">
        <v>33</v>
      </c>
      <c r="D10" t="s">
        <v>34</v>
      </c>
      <c r="E10">
        <v>1847890</v>
      </c>
    </row>
    <row r="40" spans="1:6" x14ac:dyDescent="0.25">
      <c r="A40" t="s">
        <v>36</v>
      </c>
      <c r="D40" t="s">
        <v>37</v>
      </c>
      <c r="E40">
        <v>4063382</v>
      </c>
      <c r="F40" s="9">
        <f>E40/SUM($E$40:$E$48)</f>
        <v>9.3100669984569839E-2</v>
      </c>
    </row>
    <row r="41" spans="1:6" x14ac:dyDescent="0.25">
      <c r="A41" t="s">
        <v>45</v>
      </c>
      <c r="D41" t="s">
        <v>46</v>
      </c>
      <c r="E41">
        <v>368</v>
      </c>
      <c r="F41" s="9">
        <f t="shared" ref="F41:F48" si="0">E41/SUM($E$40:$E$48)</f>
        <v>8.4316578048339284E-6</v>
      </c>
    </row>
    <row r="42" spans="1:6" x14ac:dyDescent="0.25">
      <c r="A42" t="s">
        <v>53</v>
      </c>
      <c r="D42" t="s">
        <v>54</v>
      </c>
      <c r="E42">
        <v>741370</v>
      </c>
      <c r="F42" s="9">
        <f t="shared" si="0"/>
        <v>1.6986353659700353E-2</v>
      </c>
    </row>
    <row r="43" spans="1:6" x14ac:dyDescent="0.25">
      <c r="A43" t="s">
        <v>61</v>
      </c>
      <c r="D43" t="s">
        <v>62</v>
      </c>
      <c r="E43">
        <v>49277</v>
      </c>
      <c r="F43" s="9">
        <f t="shared" si="0"/>
        <v>1.1290402218717432E-3</v>
      </c>
    </row>
    <row r="44" spans="1:6" x14ac:dyDescent="0.25">
      <c r="A44" t="s">
        <v>68</v>
      </c>
      <c r="D44" t="s">
        <v>69</v>
      </c>
      <c r="E44">
        <v>7240131</v>
      </c>
      <c r="F44" s="9">
        <f t="shared" si="0"/>
        <v>0.16588670395154914</v>
      </c>
    </row>
    <row r="45" spans="1:6" x14ac:dyDescent="0.25">
      <c r="A45" t="s">
        <v>73</v>
      </c>
      <c r="D45" t="s">
        <v>74</v>
      </c>
      <c r="E45">
        <v>218414</v>
      </c>
      <c r="F45" s="9">
        <f t="shared" si="0"/>
        <v>5.0043263798505372E-3</v>
      </c>
    </row>
    <row r="46" spans="1:6" x14ac:dyDescent="0.25">
      <c r="A46" t="s">
        <v>76</v>
      </c>
      <c r="D46" t="s">
        <v>77</v>
      </c>
      <c r="E46">
        <v>5421247</v>
      </c>
      <c r="F46" s="9">
        <f t="shared" si="0"/>
        <v>0.12421222711815903</v>
      </c>
    </row>
    <row r="47" spans="1:6" x14ac:dyDescent="0.25">
      <c r="A47" t="s">
        <v>81</v>
      </c>
      <c r="D47" t="s">
        <v>82</v>
      </c>
      <c r="E47">
        <v>19908972</v>
      </c>
      <c r="F47" s="9">
        <f t="shared" si="0"/>
        <v>0.45615662812505475</v>
      </c>
    </row>
    <row r="48" spans="1:6" x14ac:dyDescent="0.25">
      <c r="A48" t="s">
        <v>87</v>
      </c>
      <c r="D48" t="s">
        <v>88</v>
      </c>
      <c r="E48">
        <v>6001874</v>
      </c>
      <c r="F48" s="9">
        <f t="shared" si="0"/>
        <v>0.13751561890143976</v>
      </c>
    </row>
    <row r="49" spans="4:6" x14ac:dyDescent="0.25">
      <c r="F49" s="209"/>
    </row>
    <row r="50" spans="4:6" x14ac:dyDescent="0.25">
      <c r="F50" s="209"/>
    </row>
    <row r="51" spans="4:6" x14ac:dyDescent="0.25">
      <c r="F51" s="209"/>
    </row>
    <row r="52" spans="4:6" x14ac:dyDescent="0.25">
      <c r="F52" s="209"/>
    </row>
    <row r="53" spans="4:6" x14ac:dyDescent="0.25">
      <c r="F53" s="209"/>
    </row>
    <row r="54" spans="4:6" x14ac:dyDescent="0.25">
      <c r="F54" s="209"/>
    </row>
    <row r="55" spans="4:6" x14ac:dyDescent="0.25">
      <c r="F55" s="209"/>
    </row>
    <row r="56" spans="4:6" x14ac:dyDescent="0.25">
      <c r="F56" s="209"/>
    </row>
    <row r="57" spans="4:6" x14ac:dyDescent="0.25">
      <c r="F57" s="209"/>
    </row>
    <row r="58" spans="4:6" x14ac:dyDescent="0.25">
      <c r="D58" s="36" t="s">
        <v>233</v>
      </c>
      <c r="E58" s="36">
        <v>17334098</v>
      </c>
      <c r="F58" s="9">
        <f>E58/SUM($E$58:$E$70)</f>
        <v>0.397160822531131</v>
      </c>
    </row>
    <row r="59" spans="4:6" x14ac:dyDescent="0.25">
      <c r="D59" s="36" t="s">
        <v>234</v>
      </c>
      <c r="E59" s="36">
        <v>4565837</v>
      </c>
      <c r="F59" s="9">
        <f t="shared" ref="F59:F70" si="1">E59/SUM($E$58:$E$70)</f>
        <v>0.10461297602350417</v>
      </c>
    </row>
    <row r="60" spans="4:6" x14ac:dyDescent="0.25">
      <c r="D60" s="36" t="s">
        <v>235</v>
      </c>
      <c r="E60" s="36">
        <v>43997</v>
      </c>
      <c r="F60" s="9">
        <f t="shared" si="1"/>
        <v>1.0080642620632564E-3</v>
      </c>
    </row>
    <row r="61" spans="4:6" x14ac:dyDescent="0.25">
      <c r="D61" s="36" t="s">
        <v>236</v>
      </c>
      <c r="E61" s="36">
        <v>6895693</v>
      </c>
      <c r="F61" s="9">
        <f t="shared" si="1"/>
        <v>0.15799490136736058</v>
      </c>
    </row>
    <row r="62" spans="4:6" x14ac:dyDescent="0.25">
      <c r="D62" s="36" t="s">
        <v>237</v>
      </c>
      <c r="E62" s="36">
        <v>3692019</v>
      </c>
      <c r="F62" s="9">
        <f t="shared" si="1"/>
        <v>8.4591958741698794E-2</v>
      </c>
    </row>
    <row r="63" spans="4:6" x14ac:dyDescent="0.25">
      <c r="D63" s="36" t="s">
        <v>238</v>
      </c>
      <c r="E63" s="36">
        <v>22275</v>
      </c>
      <c r="F63" s="9">
        <f t="shared" si="1"/>
        <v>5.1036733044205367E-4</v>
      </c>
    </row>
    <row r="64" spans="4:6" x14ac:dyDescent="0.25">
      <c r="D64" s="36" t="s">
        <v>239</v>
      </c>
      <c r="E64" s="36">
        <v>60517</v>
      </c>
      <c r="F64" s="9">
        <f t="shared" si="1"/>
        <v>1.3865723787367795E-3</v>
      </c>
    </row>
    <row r="65" spans="4:6" x14ac:dyDescent="0.25">
      <c r="D65" s="36" t="s">
        <v>240</v>
      </c>
      <c r="E65" s="36">
        <v>370065</v>
      </c>
      <c r="F65" s="9">
        <f t="shared" si="1"/>
        <v>8.4789713194181188E-3</v>
      </c>
    </row>
    <row r="66" spans="4:6" x14ac:dyDescent="0.25">
      <c r="D66" s="36" t="s">
        <v>241</v>
      </c>
      <c r="E66" s="36">
        <v>64440</v>
      </c>
      <c r="F66" s="9">
        <f t="shared" si="1"/>
        <v>1.4764566003899412E-3</v>
      </c>
    </row>
    <row r="67" spans="4:6" x14ac:dyDescent="0.25">
      <c r="D67" s="36" t="s">
        <v>242</v>
      </c>
      <c r="E67" s="36">
        <f>7842286+2178</f>
        <v>7844464</v>
      </c>
      <c r="F67" s="9">
        <f t="shared" si="1"/>
        <v>0.17973325029983364</v>
      </c>
    </row>
    <row r="68" spans="4:6" x14ac:dyDescent="0.25">
      <c r="D68" s="36" t="s">
        <v>243</v>
      </c>
      <c r="E68" s="36">
        <v>37600</v>
      </c>
      <c r="F68" s="9">
        <f t="shared" si="1"/>
        <v>8.614954713634667E-4</v>
      </c>
    </row>
    <row r="69" spans="4:6" x14ac:dyDescent="0.25">
      <c r="D69" s="36" t="s">
        <v>244</v>
      </c>
      <c r="E69" s="36">
        <v>1836627</v>
      </c>
      <c r="F69" s="9">
        <f t="shared" si="1"/>
        <v>4.2081006464996532E-2</v>
      </c>
    </row>
    <row r="70" spans="4:6" x14ac:dyDescent="0.25">
      <c r="D70" s="36" t="s">
        <v>245</v>
      </c>
      <c r="E70" s="36">
        <v>877403</v>
      </c>
      <c r="F70" s="9">
        <f t="shared" si="1"/>
        <v>2.0103157209061695E-2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"/>
  <sheetViews>
    <sheetView workbookViewId="0">
      <selection activeCell="A7" sqref="A7:A8"/>
    </sheetView>
  </sheetViews>
  <sheetFormatPr defaultRowHeight="15" x14ac:dyDescent="0.25"/>
  <cols>
    <col min="1" max="1" width="11.42578125" customWidth="1"/>
    <col min="6" max="6" width="16.28515625" bestFit="1" customWidth="1"/>
    <col min="7" max="7" width="30.140625" bestFit="1" customWidth="1"/>
  </cols>
  <sheetData>
    <row r="1" spans="1:2" x14ac:dyDescent="0.25">
      <c r="A1" s="36" t="s">
        <v>153</v>
      </c>
      <c r="B1" s="36" t="s">
        <v>154</v>
      </c>
    </row>
    <row r="2" spans="1:2" x14ac:dyDescent="0.25">
      <c r="A2" s="39" t="s">
        <v>96</v>
      </c>
      <c r="B2">
        <v>262273</v>
      </c>
    </row>
    <row r="3" spans="1:2" x14ac:dyDescent="0.25">
      <c r="A3" s="39" t="s">
        <v>125</v>
      </c>
      <c r="B3">
        <v>70144</v>
      </c>
    </row>
    <row r="4" spans="1:2" x14ac:dyDescent="0.25">
      <c r="A4" s="39" t="s">
        <v>149</v>
      </c>
      <c r="B4">
        <v>8475</v>
      </c>
    </row>
    <row r="5" spans="1:2" x14ac:dyDescent="0.25">
      <c r="A5" s="39">
        <v>10400</v>
      </c>
      <c r="B5">
        <v>26790</v>
      </c>
    </row>
    <row r="6" spans="1:2" x14ac:dyDescent="0.25">
      <c r="A6" s="39" t="s">
        <v>96</v>
      </c>
      <c r="B6">
        <v>10863</v>
      </c>
    </row>
    <row r="7" spans="1:2" x14ac:dyDescent="0.25">
      <c r="A7" s="39" t="s">
        <v>115</v>
      </c>
      <c r="B7">
        <v>310959</v>
      </c>
    </row>
    <row r="8" spans="1:2" x14ac:dyDescent="0.25">
      <c r="A8" s="39" t="s">
        <v>115</v>
      </c>
      <c r="B8">
        <v>6567</v>
      </c>
    </row>
    <row r="9" spans="1:2" x14ac:dyDescent="0.25">
      <c r="A9" s="39" t="s">
        <v>143</v>
      </c>
      <c r="B9">
        <v>1807661</v>
      </c>
    </row>
    <row r="10" spans="1:2" x14ac:dyDescent="0.25">
      <c r="A10" s="39" t="s">
        <v>143</v>
      </c>
      <c r="B10">
        <v>23107</v>
      </c>
    </row>
    <row r="11" spans="1:2" x14ac:dyDescent="0.25">
      <c r="A11" s="39" t="s">
        <v>143</v>
      </c>
      <c r="B11">
        <v>2250</v>
      </c>
    </row>
    <row r="12" spans="1:2" x14ac:dyDescent="0.25">
      <c r="A12" s="39" t="s">
        <v>143</v>
      </c>
      <c r="B12">
        <v>177071</v>
      </c>
    </row>
    <row r="13" spans="1:2" x14ac:dyDescent="0.25">
      <c r="A13" s="39" t="s">
        <v>143</v>
      </c>
      <c r="B13">
        <v>0</v>
      </c>
    </row>
    <row r="14" spans="1:2" x14ac:dyDescent="0.25">
      <c r="A14" s="39" t="s">
        <v>143</v>
      </c>
      <c r="B14">
        <v>6238</v>
      </c>
    </row>
    <row r="15" spans="1:2" x14ac:dyDescent="0.25">
      <c r="A15" s="39" t="s">
        <v>143</v>
      </c>
      <c r="B15">
        <v>14140</v>
      </c>
    </row>
    <row r="16" spans="1:2" x14ac:dyDescent="0.25">
      <c r="A16" s="39" t="s">
        <v>143</v>
      </c>
      <c r="B16">
        <v>18554</v>
      </c>
    </row>
    <row r="17" spans="1:2" x14ac:dyDescent="0.25">
      <c r="A17" s="39" t="s">
        <v>143</v>
      </c>
      <c r="B17">
        <v>1604</v>
      </c>
    </row>
    <row r="18" spans="1:2" x14ac:dyDescent="0.25">
      <c r="A18" s="39" t="s">
        <v>144</v>
      </c>
      <c r="B18">
        <v>134062</v>
      </c>
    </row>
    <row r="19" spans="1:2" x14ac:dyDescent="0.25">
      <c r="A19" s="39" t="s">
        <v>144</v>
      </c>
      <c r="B19">
        <v>2109</v>
      </c>
    </row>
    <row r="20" spans="1:2" x14ac:dyDescent="0.25">
      <c r="A20" s="39" t="s">
        <v>134</v>
      </c>
      <c r="B20">
        <v>30392</v>
      </c>
    </row>
    <row r="21" spans="1:2" x14ac:dyDescent="0.25">
      <c r="A21" s="39">
        <v>10700</v>
      </c>
      <c r="B21">
        <v>183200</v>
      </c>
    </row>
    <row r="22" spans="1:2" x14ac:dyDescent="0.25">
      <c r="A22" s="39">
        <v>10400</v>
      </c>
      <c r="B22">
        <v>10000</v>
      </c>
    </row>
    <row r="23" spans="1:2" x14ac:dyDescent="0.25">
      <c r="A23" s="39">
        <v>10700</v>
      </c>
      <c r="B23">
        <v>2850</v>
      </c>
    </row>
    <row r="24" spans="1:2" x14ac:dyDescent="0.25">
      <c r="A24" s="39">
        <v>10700</v>
      </c>
      <c r="B24">
        <v>143498</v>
      </c>
    </row>
    <row r="25" spans="1:2" x14ac:dyDescent="0.25">
      <c r="A25" s="39" t="s">
        <v>128</v>
      </c>
      <c r="B25">
        <v>0</v>
      </c>
    </row>
    <row r="26" spans="1:2" x14ac:dyDescent="0.25">
      <c r="A26" s="39" t="s">
        <v>128</v>
      </c>
      <c r="B26">
        <v>0</v>
      </c>
    </row>
    <row r="27" spans="1:2" x14ac:dyDescent="0.25">
      <c r="A27" s="39" t="s">
        <v>107</v>
      </c>
      <c r="B27">
        <v>203173</v>
      </c>
    </row>
    <row r="28" spans="1:2" x14ac:dyDescent="0.25">
      <c r="A28" s="39" t="s">
        <v>109</v>
      </c>
      <c r="B28">
        <v>9562</v>
      </c>
    </row>
    <row r="29" spans="1:2" x14ac:dyDescent="0.25">
      <c r="A29" s="39" t="s">
        <v>109</v>
      </c>
      <c r="B29">
        <v>143498</v>
      </c>
    </row>
    <row r="30" spans="1:2" x14ac:dyDescent="0.25">
      <c r="A30" s="39" t="s">
        <v>134</v>
      </c>
      <c r="B30">
        <v>144175</v>
      </c>
    </row>
    <row r="31" spans="1:2" x14ac:dyDescent="0.25">
      <c r="A31" s="39" t="s">
        <v>134</v>
      </c>
      <c r="B31">
        <v>18968</v>
      </c>
    </row>
    <row r="32" spans="1:2" x14ac:dyDescent="0.25">
      <c r="A32" s="39" t="s">
        <v>136</v>
      </c>
      <c r="B32">
        <v>0</v>
      </c>
    </row>
    <row r="33" spans="1:2" x14ac:dyDescent="0.25">
      <c r="A33" s="39" t="s">
        <v>133</v>
      </c>
      <c r="B33">
        <v>60505</v>
      </c>
    </row>
    <row r="34" spans="1:2" x14ac:dyDescent="0.25">
      <c r="A34" s="39" t="s">
        <v>133</v>
      </c>
      <c r="B34">
        <v>1205363</v>
      </c>
    </row>
    <row r="35" spans="1:2" x14ac:dyDescent="0.25">
      <c r="A35" s="39" t="s">
        <v>133</v>
      </c>
      <c r="B35">
        <v>44598</v>
      </c>
    </row>
    <row r="36" spans="1:2" x14ac:dyDescent="0.25">
      <c r="A36" s="39" t="s">
        <v>132</v>
      </c>
      <c r="B36">
        <v>78678</v>
      </c>
    </row>
    <row r="37" spans="1:2" x14ac:dyDescent="0.25">
      <c r="A37" s="39" t="s">
        <v>132</v>
      </c>
      <c r="B37">
        <v>29640</v>
      </c>
    </row>
    <row r="38" spans="1:2" x14ac:dyDescent="0.25">
      <c r="A38" s="39" t="s">
        <v>109</v>
      </c>
      <c r="B38">
        <v>6040</v>
      </c>
    </row>
    <row r="39" spans="1:2" x14ac:dyDescent="0.25">
      <c r="A39" s="39" t="s">
        <v>133</v>
      </c>
      <c r="B39">
        <v>2039</v>
      </c>
    </row>
    <row r="40" spans="1:2" x14ac:dyDescent="0.25">
      <c r="A40" s="39" t="s">
        <v>109</v>
      </c>
      <c r="B40">
        <v>16625</v>
      </c>
    </row>
    <row r="41" spans="1:2" x14ac:dyDescent="0.25">
      <c r="A41" s="39" t="s">
        <v>113</v>
      </c>
      <c r="B41">
        <v>0</v>
      </c>
    </row>
    <row r="42" spans="1:2" x14ac:dyDescent="0.25">
      <c r="A42" s="39"/>
      <c r="B42">
        <f>SUBTOTAL(109,Tabula3[Summa: Tāmes'#Summa])</f>
        <v>5215671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3"/>
  <sheetViews>
    <sheetView topLeftCell="A40" workbookViewId="0">
      <selection activeCell="C77" sqref="C77"/>
    </sheetView>
  </sheetViews>
  <sheetFormatPr defaultRowHeight="15" x14ac:dyDescent="0.25"/>
  <cols>
    <col min="1" max="1" width="11.42578125" style="36" customWidth="1"/>
    <col min="2" max="5" width="9.140625" style="36"/>
    <col min="6" max="6" width="16.28515625" style="36" bestFit="1" customWidth="1"/>
    <col min="7" max="7" width="30.140625" style="36" bestFit="1" customWidth="1"/>
    <col min="8" max="16384" width="9.140625" style="36"/>
  </cols>
  <sheetData>
    <row r="1" spans="1:2" x14ac:dyDescent="0.25">
      <c r="A1" s="36" t="s">
        <v>153</v>
      </c>
      <c r="B1" s="36" t="s">
        <v>154</v>
      </c>
    </row>
    <row r="2" spans="1:2" x14ac:dyDescent="0.25">
      <c r="A2" s="39" t="s">
        <v>96</v>
      </c>
      <c r="B2" s="36">
        <v>295679</v>
      </c>
    </row>
    <row r="3" spans="1:2" x14ac:dyDescent="0.25">
      <c r="A3" s="39" t="s">
        <v>149</v>
      </c>
      <c r="B3" s="36">
        <v>6534</v>
      </c>
    </row>
    <row r="4" spans="1:2" x14ac:dyDescent="0.25">
      <c r="A4" s="39" t="s">
        <v>149</v>
      </c>
      <c r="B4" s="36">
        <v>8360</v>
      </c>
    </row>
    <row r="5" spans="1:2" x14ac:dyDescent="0.25">
      <c r="A5" s="39" t="s">
        <v>149</v>
      </c>
      <c r="B5" s="36">
        <v>4749</v>
      </c>
    </row>
    <row r="6" spans="1:2" x14ac:dyDescent="0.25">
      <c r="A6" s="39" t="s">
        <v>127</v>
      </c>
      <c r="B6" s="36">
        <v>18243</v>
      </c>
    </row>
    <row r="7" spans="1:2" x14ac:dyDescent="0.25">
      <c r="A7" s="39" t="s">
        <v>97</v>
      </c>
      <c r="B7" s="36">
        <v>500</v>
      </c>
    </row>
    <row r="8" spans="1:2" x14ac:dyDescent="0.25">
      <c r="A8" s="39" t="s">
        <v>202</v>
      </c>
      <c r="B8" s="36">
        <v>12000</v>
      </c>
    </row>
    <row r="9" spans="1:2" x14ac:dyDescent="0.25">
      <c r="A9" s="39" t="s">
        <v>115</v>
      </c>
      <c r="B9" s="36">
        <v>247519</v>
      </c>
    </row>
    <row r="10" spans="1:2" x14ac:dyDescent="0.25">
      <c r="A10" s="39" t="s">
        <v>115</v>
      </c>
      <c r="B10" s="36">
        <v>118456</v>
      </c>
    </row>
    <row r="11" spans="1:2" x14ac:dyDescent="0.25">
      <c r="A11" s="39" t="s">
        <v>115</v>
      </c>
      <c r="B11" s="36">
        <v>27016</v>
      </c>
    </row>
    <row r="12" spans="1:2" x14ac:dyDescent="0.25">
      <c r="A12" s="39" t="s">
        <v>115</v>
      </c>
      <c r="B12" s="36">
        <v>716</v>
      </c>
    </row>
    <row r="13" spans="1:2" x14ac:dyDescent="0.25">
      <c r="A13" s="39" t="s">
        <v>115</v>
      </c>
      <c r="B13" s="36">
        <v>4500</v>
      </c>
    </row>
    <row r="14" spans="1:2" x14ac:dyDescent="0.25">
      <c r="A14" s="39" t="s">
        <v>143</v>
      </c>
      <c r="B14" s="36">
        <v>17255</v>
      </c>
    </row>
    <row r="15" spans="1:2" x14ac:dyDescent="0.25">
      <c r="A15" s="39" t="s">
        <v>143</v>
      </c>
      <c r="B15" s="36">
        <v>200534</v>
      </c>
    </row>
    <row r="16" spans="1:2" x14ac:dyDescent="0.25">
      <c r="A16" s="39" t="s">
        <v>143</v>
      </c>
      <c r="B16" s="36">
        <v>4963</v>
      </c>
    </row>
    <row r="17" spans="1:2" x14ac:dyDescent="0.25">
      <c r="A17" s="39" t="s">
        <v>143</v>
      </c>
      <c r="B17" s="36">
        <v>364672</v>
      </c>
    </row>
    <row r="18" spans="1:2" x14ac:dyDescent="0.25">
      <c r="A18" s="39" t="s">
        <v>143</v>
      </c>
      <c r="B18" s="36">
        <v>6210</v>
      </c>
    </row>
    <row r="19" spans="1:2" x14ac:dyDescent="0.25">
      <c r="A19" s="39" t="s">
        <v>143</v>
      </c>
      <c r="B19" s="36">
        <v>13275</v>
      </c>
    </row>
    <row r="20" spans="1:2" x14ac:dyDescent="0.25">
      <c r="A20" s="39" t="s">
        <v>143</v>
      </c>
      <c r="B20" s="36">
        <v>1252</v>
      </c>
    </row>
    <row r="21" spans="1:2" x14ac:dyDescent="0.25">
      <c r="A21" s="39" t="s">
        <v>143</v>
      </c>
      <c r="B21" s="36">
        <v>3823</v>
      </c>
    </row>
    <row r="22" spans="1:2" x14ac:dyDescent="0.25">
      <c r="A22" s="39" t="s">
        <v>143</v>
      </c>
      <c r="B22" s="36">
        <v>9336</v>
      </c>
    </row>
    <row r="23" spans="1:2" x14ac:dyDescent="0.25">
      <c r="A23" s="39" t="s">
        <v>143</v>
      </c>
      <c r="B23" s="36">
        <v>77701</v>
      </c>
    </row>
    <row r="24" spans="1:2" x14ac:dyDescent="0.25">
      <c r="A24" s="39" t="s">
        <v>143</v>
      </c>
      <c r="B24" s="36">
        <v>35762</v>
      </c>
    </row>
    <row r="25" spans="1:2" x14ac:dyDescent="0.25">
      <c r="A25" s="39" t="s">
        <v>143</v>
      </c>
      <c r="B25" s="36">
        <v>2536</v>
      </c>
    </row>
    <row r="26" spans="1:2" x14ac:dyDescent="0.25">
      <c r="A26" s="39" t="s">
        <v>143</v>
      </c>
      <c r="B26" s="36">
        <v>1757</v>
      </c>
    </row>
    <row r="27" spans="1:2" x14ac:dyDescent="0.25">
      <c r="A27" s="12" t="s">
        <v>143</v>
      </c>
      <c r="B27" s="36">
        <v>867</v>
      </c>
    </row>
    <row r="28" spans="1:2" x14ac:dyDescent="0.25">
      <c r="A28" s="12" t="s">
        <v>143</v>
      </c>
      <c r="B28" s="36">
        <v>972</v>
      </c>
    </row>
    <row r="29" spans="1:2" x14ac:dyDescent="0.25">
      <c r="A29" s="12" t="s">
        <v>143</v>
      </c>
      <c r="B29" s="36">
        <v>2659</v>
      </c>
    </row>
    <row r="30" spans="1:2" x14ac:dyDescent="0.25">
      <c r="A30" s="39" t="s">
        <v>143</v>
      </c>
      <c r="B30" s="36">
        <v>176</v>
      </c>
    </row>
    <row r="31" spans="1:2" x14ac:dyDescent="0.25">
      <c r="A31" s="39" t="s">
        <v>143</v>
      </c>
      <c r="B31" s="36">
        <v>1309</v>
      </c>
    </row>
    <row r="32" spans="1:2" x14ac:dyDescent="0.25">
      <c r="A32" s="39" t="s">
        <v>143</v>
      </c>
      <c r="B32" s="36">
        <v>73098</v>
      </c>
    </row>
    <row r="33" spans="1:2" x14ac:dyDescent="0.25">
      <c r="A33" s="39" t="s">
        <v>143</v>
      </c>
      <c r="B33" s="36">
        <v>422</v>
      </c>
    </row>
    <row r="34" spans="1:2" x14ac:dyDescent="0.25">
      <c r="A34" s="39" t="s">
        <v>125</v>
      </c>
      <c r="B34" s="36">
        <v>6385</v>
      </c>
    </row>
    <row r="35" spans="1:2" x14ac:dyDescent="0.25">
      <c r="A35" s="39" t="s">
        <v>125</v>
      </c>
      <c r="B35" s="36">
        <v>13297</v>
      </c>
    </row>
    <row r="36" spans="1:2" x14ac:dyDescent="0.25">
      <c r="A36" s="39" t="s">
        <v>145</v>
      </c>
      <c r="B36" s="36">
        <v>9781</v>
      </c>
    </row>
    <row r="37" spans="1:2" x14ac:dyDescent="0.25">
      <c r="A37" s="39" t="s">
        <v>145</v>
      </c>
      <c r="B37" s="36">
        <v>79300</v>
      </c>
    </row>
    <row r="38" spans="1:2" x14ac:dyDescent="0.25">
      <c r="A38" s="39" t="s">
        <v>144</v>
      </c>
      <c r="B38" s="36">
        <v>16326</v>
      </c>
    </row>
    <row r="39" spans="1:2" x14ac:dyDescent="0.25">
      <c r="A39" s="39" t="s">
        <v>144</v>
      </c>
      <c r="B39" s="36">
        <v>22707</v>
      </c>
    </row>
    <row r="40" spans="1:2" x14ac:dyDescent="0.25">
      <c r="A40" s="39" t="s">
        <v>144</v>
      </c>
      <c r="B40" s="36">
        <v>1018</v>
      </c>
    </row>
    <row r="41" spans="1:2" x14ac:dyDescent="0.25">
      <c r="A41" s="39" t="s">
        <v>144</v>
      </c>
      <c r="B41" s="36">
        <v>29618</v>
      </c>
    </row>
    <row r="42" spans="1:2" x14ac:dyDescent="0.25">
      <c r="A42" s="39" t="s">
        <v>147</v>
      </c>
      <c r="B42" s="36">
        <v>78303</v>
      </c>
    </row>
    <row r="43" spans="1:2" x14ac:dyDescent="0.25">
      <c r="A43" s="39">
        <v>10120</v>
      </c>
      <c r="B43" s="36">
        <v>15898</v>
      </c>
    </row>
    <row r="44" spans="1:2" x14ac:dyDescent="0.25">
      <c r="A44" s="39">
        <v>10120</v>
      </c>
      <c r="B44" s="36">
        <v>206</v>
      </c>
    </row>
    <row r="45" spans="1:2" x14ac:dyDescent="0.25">
      <c r="A45" s="39">
        <v>10400</v>
      </c>
      <c r="B45" s="36">
        <v>51991</v>
      </c>
    </row>
    <row r="46" spans="1:2" x14ac:dyDescent="0.25">
      <c r="A46" s="39">
        <v>10700</v>
      </c>
      <c r="B46" s="36">
        <v>41915</v>
      </c>
    </row>
    <row r="47" spans="1:2" x14ac:dyDescent="0.25">
      <c r="A47" s="39" t="s">
        <v>128</v>
      </c>
      <c r="B47" s="36">
        <v>11000</v>
      </c>
    </row>
    <row r="48" spans="1:2" x14ac:dyDescent="0.25">
      <c r="A48" s="39" t="s">
        <v>188</v>
      </c>
      <c r="B48" s="36">
        <v>8045</v>
      </c>
    </row>
    <row r="49" spans="1:2" x14ac:dyDescent="0.25">
      <c r="A49" s="39" t="s">
        <v>128</v>
      </c>
      <c r="B49" s="36">
        <v>47859</v>
      </c>
    </row>
    <row r="50" spans="1:2" x14ac:dyDescent="0.25">
      <c r="A50" s="39" t="s">
        <v>126</v>
      </c>
      <c r="B50" s="36">
        <v>366518</v>
      </c>
    </row>
    <row r="51" spans="1:2" x14ac:dyDescent="0.25">
      <c r="A51" s="39" t="s">
        <v>101</v>
      </c>
      <c r="B51" s="36">
        <v>3075</v>
      </c>
    </row>
    <row r="52" spans="1:2" x14ac:dyDescent="0.25">
      <c r="A52" s="39" t="s">
        <v>190</v>
      </c>
      <c r="B52" s="36">
        <v>820</v>
      </c>
    </row>
    <row r="53" spans="1:2" x14ac:dyDescent="0.25">
      <c r="A53" s="39" t="s">
        <v>100</v>
      </c>
      <c r="B53" s="36">
        <v>1132</v>
      </c>
    </row>
    <row r="54" spans="1:2" x14ac:dyDescent="0.25">
      <c r="A54" s="39" t="s">
        <v>103</v>
      </c>
      <c r="B54" s="36">
        <v>7127</v>
      </c>
    </row>
    <row r="55" spans="1:2" x14ac:dyDescent="0.25">
      <c r="A55" s="39" t="s">
        <v>189</v>
      </c>
      <c r="B55" s="36">
        <v>8255</v>
      </c>
    </row>
    <row r="56" spans="1:2" x14ac:dyDescent="0.25">
      <c r="A56" s="39" t="s">
        <v>189</v>
      </c>
      <c r="B56" s="36">
        <v>6187</v>
      </c>
    </row>
    <row r="57" spans="1:2" x14ac:dyDescent="0.25">
      <c r="A57" s="39" t="s">
        <v>107</v>
      </c>
      <c r="B57" s="36">
        <v>5974</v>
      </c>
    </row>
    <row r="58" spans="1:2" x14ac:dyDescent="0.25">
      <c r="A58" s="39" t="s">
        <v>109</v>
      </c>
      <c r="B58" s="36">
        <v>40651</v>
      </c>
    </row>
    <row r="59" spans="1:2" x14ac:dyDescent="0.25">
      <c r="A59" s="39" t="s">
        <v>109</v>
      </c>
      <c r="B59" s="36">
        <v>464</v>
      </c>
    </row>
    <row r="60" spans="1:2" x14ac:dyDescent="0.25">
      <c r="A60" s="39" t="s">
        <v>112</v>
      </c>
      <c r="B60" s="36">
        <v>20360</v>
      </c>
    </row>
    <row r="61" spans="1:2" x14ac:dyDescent="0.25">
      <c r="A61" s="39" t="s">
        <v>112</v>
      </c>
      <c r="B61" s="36">
        <v>17065</v>
      </c>
    </row>
    <row r="62" spans="1:2" x14ac:dyDescent="0.25">
      <c r="A62" s="39" t="s">
        <v>108</v>
      </c>
      <c r="B62" s="36">
        <v>114533</v>
      </c>
    </row>
    <row r="63" spans="1:2" x14ac:dyDescent="0.25">
      <c r="A63" s="39" t="s">
        <v>110</v>
      </c>
      <c r="B63" s="36">
        <v>622</v>
      </c>
    </row>
    <row r="64" spans="1:2" x14ac:dyDescent="0.25">
      <c r="A64" s="39" t="s">
        <v>105</v>
      </c>
      <c r="B64" s="36">
        <v>14506</v>
      </c>
    </row>
    <row r="65" spans="1:2" x14ac:dyDescent="0.25">
      <c r="A65" s="39" t="s">
        <v>136</v>
      </c>
      <c r="B65" s="36">
        <v>2160</v>
      </c>
    </row>
    <row r="66" spans="1:2" x14ac:dyDescent="0.25">
      <c r="A66" s="39" t="s">
        <v>185</v>
      </c>
      <c r="B66" s="36">
        <v>115158</v>
      </c>
    </row>
    <row r="67" spans="1:2" x14ac:dyDescent="0.25">
      <c r="A67" s="39" t="s">
        <v>185</v>
      </c>
      <c r="B67" s="36">
        <v>108780</v>
      </c>
    </row>
    <row r="68" spans="1:2" x14ac:dyDescent="0.25">
      <c r="A68" s="39" t="s">
        <v>134</v>
      </c>
      <c r="B68" s="36">
        <v>342149</v>
      </c>
    </row>
    <row r="69" spans="1:2" x14ac:dyDescent="0.25">
      <c r="A69" s="39" t="s">
        <v>134</v>
      </c>
      <c r="B69" s="36">
        <v>17658</v>
      </c>
    </row>
    <row r="70" spans="1:2" x14ac:dyDescent="0.25">
      <c r="A70" s="39" t="s">
        <v>114</v>
      </c>
      <c r="B70" s="36">
        <v>41549</v>
      </c>
    </row>
    <row r="71" spans="1:2" x14ac:dyDescent="0.25">
      <c r="A71" s="39" t="s">
        <v>134</v>
      </c>
      <c r="B71" s="36">
        <v>19200</v>
      </c>
    </row>
    <row r="72" spans="1:2" x14ac:dyDescent="0.25">
      <c r="A72" s="39" t="s">
        <v>193</v>
      </c>
      <c r="B72" s="36">
        <v>17257</v>
      </c>
    </row>
    <row r="73" spans="1:2" x14ac:dyDescent="0.25">
      <c r="A73" s="39" t="s">
        <v>134</v>
      </c>
      <c r="B73" s="36">
        <v>74164</v>
      </c>
    </row>
    <row r="74" spans="1:2" x14ac:dyDescent="0.25">
      <c r="A74" s="39" t="s">
        <v>134</v>
      </c>
      <c r="B74" s="36">
        <v>5616</v>
      </c>
    </row>
    <row r="75" spans="1:2" x14ac:dyDescent="0.25">
      <c r="A75" s="39" t="s">
        <v>130</v>
      </c>
      <c r="B75" s="36">
        <v>32945</v>
      </c>
    </row>
    <row r="76" spans="1:2" x14ac:dyDescent="0.25">
      <c r="A76" s="39" t="s">
        <v>131</v>
      </c>
      <c r="B76" s="36">
        <v>19944</v>
      </c>
    </row>
    <row r="77" spans="1:2" x14ac:dyDescent="0.25">
      <c r="A77" s="39" t="s">
        <v>132</v>
      </c>
      <c r="B77" s="36">
        <v>54874</v>
      </c>
    </row>
    <row r="78" spans="1:2" x14ac:dyDescent="0.25">
      <c r="A78" s="39" t="s">
        <v>132</v>
      </c>
      <c r="B78" s="36">
        <v>9392</v>
      </c>
    </row>
    <row r="79" spans="1:2" x14ac:dyDescent="0.25">
      <c r="A79" s="41" t="s">
        <v>142</v>
      </c>
      <c r="B79" s="36">
        <v>26423</v>
      </c>
    </row>
    <row r="80" spans="1:2" x14ac:dyDescent="0.25">
      <c r="A80" s="39" t="s">
        <v>193</v>
      </c>
      <c r="B80" s="36">
        <v>19481</v>
      </c>
    </row>
    <row r="81" spans="1:2" x14ac:dyDescent="0.25">
      <c r="A81" s="39" t="s">
        <v>100</v>
      </c>
      <c r="B81" s="36">
        <v>5800</v>
      </c>
    </row>
    <row r="82" spans="1:2" x14ac:dyDescent="0.25">
      <c r="A82" s="39" t="s">
        <v>100</v>
      </c>
      <c r="B82" s="36">
        <v>16800</v>
      </c>
    </row>
    <row r="83" spans="1:2" x14ac:dyDescent="0.25">
      <c r="A83" s="39"/>
      <c r="B83" s="36">
        <f>SUBTOTAL(109,Tabula4[Summa: Tāmes'#Summa])</f>
        <v>3533139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workbookViewId="0">
      <selection activeCell="A9" sqref="A9:A10"/>
    </sheetView>
  </sheetViews>
  <sheetFormatPr defaultRowHeight="15" x14ac:dyDescent="0.25"/>
  <cols>
    <col min="1" max="2" width="11.42578125" customWidth="1"/>
    <col min="6" max="6" width="16.28515625" bestFit="1" customWidth="1"/>
    <col min="7" max="7" width="30.140625" bestFit="1" customWidth="1"/>
  </cols>
  <sheetData>
    <row r="1" spans="1:2" x14ac:dyDescent="0.25">
      <c r="A1" s="36" t="s">
        <v>153</v>
      </c>
      <c r="B1" s="36" t="s">
        <v>154</v>
      </c>
    </row>
    <row r="2" spans="1:2" x14ac:dyDescent="0.25">
      <c r="A2" s="38" t="s">
        <v>96</v>
      </c>
      <c r="B2">
        <v>285953</v>
      </c>
    </row>
    <row r="3" spans="1:2" x14ac:dyDescent="0.25">
      <c r="A3" s="38" t="s">
        <v>184</v>
      </c>
      <c r="B3">
        <v>19386</v>
      </c>
    </row>
    <row r="4" spans="1:2" x14ac:dyDescent="0.25">
      <c r="A4" s="38" t="s">
        <v>96</v>
      </c>
      <c r="B4">
        <v>7180</v>
      </c>
    </row>
    <row r="5" spans="1:2" x14ac:dyDescent="0.25">
      <c r="A5" s="38" t="s">
        <v>127</v>
      </c>
      <c r="B5">
        <v>22580</v>
      </c>
    </row>
    <row r="6" spans="1:2" x14ac:dyDescent="0.25">
      <c r="A6" s="38" t="s">
        <v>96</v>
      </c>
      <c r="B6">
        <v>38785</v>
      </c>
    </row>
    <row r="7" spans="1:2" x14ac:dyDescent="0.25">
      <c r="A7" s="38" t="s">
        <v>149</v>
      </c>
      <c r="B7">
        <v>2785</v>
      </c>
    </row>
    <row r="8" spans="1:2" x14ac:dyDescent="0.25">
      <c r="A8" s="38" t="s">
        <v>96</v>
      </c>
      <c r="B8">
        <v>71000</v>
      </c>
    </row>
    <row r="9" spans="1:2" x14ac:dyDescent="0.25">
      <c r="A9" s="38" t="s">
        <v>143</v>
      </c>
      <c r="B9">
        <v>462217</v>
      </c>
    </row>
    <row r="10" spans="1:2" x14ac:dyDescent="0.25">
      <c r="A10" s="38" t="s">
        <v>143</v>
      </c>
      <c r="B10">
        <v>35940</v>
      </c>
    </row>
    <row r="11" spans="1:2" x14ac:dyDescent="0.25">
      <c r="A11" s="38" t="s">
        <v>143</v>
      </c>
      <c r="B11">
        <v>278660</v>
      </c>
    </row>
    <row r="12" spans="1:2" x14ac:dyDescent="0.25">
      <c r="A12" s="38" t="s">
        <v>143</v>
      </c>
      <c r="B12">
        <v>353763</v>
      </c>
    </row>
    <row r="13" spans="1:2" x14ac:dyDescent="0.25">
      <c r="A13" s="38" t="s">
        <v>143</v>
      </c>
      <c r="B13">
        <v>3896</v>
      </c>
    </row>
    <row r="14" spans="1:2" x14ac:dyDescent="0.25">
      <c r="A14" s="38" t="s">
        <v>143</v>
      </c>
      <c r="B14">
        <v>8685</v>
      </c>
    </row>
    <row r="15" spans="1:2" x14ac:dyDescent="0.25">
      <c r="A15" s="38" t="s">
        <v>144</v>
      </c>
      <c r="B15">
        <v>66691</v>
      </c>
    </row>
    <row r="16" spans="1:2" x14ac:dyDescent="0.25">
      <c r="A16" s="38" t="s">
        <v>144</v>
      </c>
      <c r="B16">
        <v>43803</v>
      </c>
    </row>
    <row r="17" spans="1:2" x14ac:dyDescent="0.25">
      <c r="A17" s="38" t="s">
        <v>128</v>
      </c>
      <c r="B17">
        <v>987140</v>
      </c>
    </row>
    <row r="18" spans="1:2" x14ac:dyDescent="0.25">
      <c r="A18" s="38" t="s">
        <v>128</v>
      </c>
      <c r="B18">
        <v>242505</v>
      </c>
    </row>
    <row r="19" spans="1:2" x14ac:dyDescent="0.25">
      <c r="A19" s="38">
        <v>10700</v>
      </c>
      <c r="B19">
        <v>0</v>
      </c>
    </row>
    <row r="20" spans="1:2" x14ac:dyDescent="0.25">
      <c r="A20" s="38">
        <v>10700</v>
      </c>
      <c r="B20">
        <v>0</v>
      </c>
    </row>
    <row r="21" spans="1:2" x14ac:dyDescent="0.25">
      <c r="A21" s="38" t="s">
        <v>107</v>
      </c>
      <c r="B21">
        <v>703747</v>
      </c>
    </row>
    <row r="22" spans="1:2" x14ac:dyDescent="0.25">
      <c r="A22" s="38" t="s">
        <v>156</v>
      </c>
      <c r="B22">
        <v>5000</v>
      </c>
    </row>
    <row r="23" spans="1:2" x14ac:dyDescent="0.25">
      <c r="A23" s="38" t="s">
        <v>185</v>
      </c>
      <c r="B23">
        <v>145845</v>
      </c>
    </row>
    <row r="24" spans="1:2" x14ac:dyDescent="0.25">
      <c r="A24" s="38" t="s">
        <v>185</v>
      </c>
      <c r="B24">
        <v>0</v>
      </c>
    </row>
    <row r="25" spans="1:2" x14ac:dyDescent="0.25">
      <c r="A25" s="38" t="s">
        <v>134</v>
      </c>
      <c r="B25">
        <v>232010</v>
      </c>
    </row>
    <row r="26" spans="1:2" x14ac:dyDescent="0.25">
      <c r="A26" s="38" t="s">
        <v>221</v>
      </c>
      <c r="B26">
        <v>6400</v>
      </c>
    </row>
    <row r="27" spans="1:2" x14ac:dyDescent="0.25">
      <c r="A27" s="38" t="s">
        <v>136</v>
      </c>
      <c r="B27">
        <v>4880</v>
      </c>
    </row>
    <row r="28" spans="1:2" x14ac:dyDescent="0.25">
      <c r="A28" s="38" t="s">
        <v>133</v>
      </c>
      <c r="B28">
        <v>47552</v>
      </c>
    </row>
    <row r="29" spans="1:2" x14ac:dyDescent="0.25">
      <c r="A29" s="38" t="s">
        <v>133</v>
      </c>
      <c r="B29">
        <v>54995</v>
      </c>
    </row>
    <row r="30" spans="1:2" x14ac:dyDescent="0.25">
      <c r="A30" s="38" t="s">
        <v>132</v>
      </c>
      <c r="B30">
        <v>44270</v>
      </c>
    </row>
    <row r="31" spans="1:2" x14ac:dyDescent="0.25">
      <c r="A31" s="38" t="s">
        <v>113</v>
      </c>
      <c r="B31">
        <v>0</v>
      </c>
    </row>
    <row r="32" spans="1:2" x14ac:dyDescent="0.25">
      <c r="A32" s="38" t="s">
        <v>127</v>
      </c>
      <c r="B32">
        <v>78000</v>
      </c>
    </row>
    <row r="33" spans="1:2" x14ac:dyDescent="0.25">
      <c r="A33" s="38" t="s">
        <v>96</v>
      </c>
      <c r="B33">
        <v>35170</v>
      </c>
    </row>
    <row r="34" spans="1:2" x14ac:dyDescent="0.25">
      <c r="A34" s="38" t="s">
        <v>146</v>
      </c>
      <c r="B34">
        <v>0</v>
      </c>
    </row>
    <row r="35" spans="1:2" x14ac:dyDescent="0.25">
      <c r="A35" s="38" t="s">
        <v>108</v>
      </c>
      <c r="B35">
        <v>21273</v>
      </c>
    </row>
    <row r="36" spans="1:2" x14ac:dyDescent="0.25">
      <c r="A36" s="38" t="s">
        <v>107</v>
      </c>
      <c r="B36">
        <v>57460</v>
      </c>
    </row>
    <row r="37" spans="1:2" x14ac:dyDescent="0.25">
      <c r="A37" s="38" t="s">
        <v>134</v>
      </c>
      <c r="B37">
        <v>7320</v>
      </c>
    </row>
    <row r="38" spans="1:2" x14ac:dyDescent="0.25">
      <c r="A38" s="38" t="s">
        <v>136</v>
      </c>
      <c r="B38">
        <v>0</v>
      </c>
    </row>
    <row r="39" spans="1:2" x14ac:dyDescent="0.25">
      <c r="A39" s="38" t="s">
        <v>130</v>
      </c>
      <c r="B39">
        <v>11505</v>
      </c>
    </row>
    <row r="40" spans="1:2" x14ac:dyDescent="0.25">
      <c r="A40" s="38" t="s">
        <v>132</v>
      </c>
      <c r="B40">
        <v>14527</v>
      </c>
    </row>
    <row r="41" spans="1:2" x14ac:dyDescent="0.25">
      <c r="A41" s="38" t="s">
        <v>96</v>
      </c>
      <c r="B41" s="36">
        <v>54350</v>
      </c>
    </row>
    <row r="42" spans="1:2" x14ac:dyDescent="0.25">
      <c r="A42" s="38" t="s">
        <v>146</v>
      </c>
      <c r="B42" s="36">
        <v>0</v>
      </c>
    </row>
    <row r="43" spans="1:2" x14ac:dyDescent="0.25">
      <c r="A43" s="38" t="s">
        <v>107</v>
      </c>
      <c r="B43" s="36">
        <v>122440</v>
      </c>
    </row>
    <row r="44" spans="1:2" x14ac:dyDescent="0.25">
      <c r="A44" s="38" t="s">
        <v>134</v>
      </c>
      <c r="B44" s="36">
        <v>16675</v>
      </c>
    </row>
    <row r="45" spans="1:2" x14ac:dyDescent="0.25">
      <c r="A45" s="38" t="s">
        <v>136</v>
      </c>
      <c r="B45" s="36">
        <v>0</v>
      </c>
    </row>
    <row r="46" spans="1:2" x14ac:dyDescent="0.25">
      <c r="A46" s="38" t="s">
        <v>130</v>
      </c>
      <c r="B46" s="36">
        <v>12755</v>
      </c>
    </row>
    <row r="47" spans="1:2" x14ac:dyDescent="0.25">
      <c r="A47" s="38" t="s">
        <v>132</v>
      </c>
      <c r="B47" s="36">
        <v>25870</v>
      </c>
    </row>
    <row r="48" spans="1:2" x14ac:dyDescent="0.25">
      <c r="B48">
        <f>SUBTOTAL(109,Tabula2[Summa: Tāmes'#Summa])</f>
        <v>4633013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topLeftCell="A4" workbookViewId="0">
      <selection activeCell="B20" sqref="B20"/>
    </sheetView>
  </sheetViews>
  <sheetFormatPr defaultRowHeight="15" x14ac:dyDescent="0.25"/>
  <cols>
    <col min="1" max="1" width="23.5703125" customWidth="1"/>
    <col min="2" max="2" width="24" customWidth="1"/>
  </cols>
  <sheetData>
    <row r="1" spans="1:5" ht="18.75" x14ac:dyDescent="0.3">
      <c r="A1" t="s">
        <v>153</v>
      </c>
      <c r="B1" t="s">
        <v>154</v>
      </c>
      <c r="E1" s="18" t="s">
        <v>155</v>
      </c>
    </row>
    <row r="2" spans="1:5" x14ac:dyDescent="0.25">
      <c r="A2" s="23" t="s">
        <v>96</v>
      </c>
      <c r="B2" s="24">
        <v>2842610</v>
      </c>
    </row>
    <row r="3" spans="1:5" x14ac:dyDescent="0.25">
      <c r="A3" s="23" t="s">
        <v>97</v>
      </c>
      <c r="B3" s="24">
        <v>116116</v>
      </c>
    </row>
    <row r="4" spans="1:5" x14ac:dyDescent="0.25">
      <c r="A4" s="23" t="s">
        <v>98</v>
      </c>
      <c r="B4" s="24">
        <v>0</v>
      </c>
    </row>
    <row r="5" spans="1:5" x14ac:dyDescent="0.25">
      <c r="A5" s="23" t="s">
        <v>99</v>
      </c>
      <c r="B5" s="24">
        <v>368</v>
      </c>
    </row>
    <row r="6" spans="1:5" x14ac:dyDescent="0.25">
      <c r="A6" s="23" t="s">
        <v>100</v>
      </c>
      <c r="B6" s="24">
        <v>117670</v>
      </c>
    </row>
    <row r="7" spans="1:5" x14ac:dyDescent="0.25">
      <c r="A7" s="23" t="s">
        <v>101</v>
      </c>
      <c r="B7" s="24">
        <v>1000</v>
      </c>
    </row>
    <row r="8" spans="1:5" x14ac:dyDescent="0.25">
      <c r="A8" s="23" t="s">
        <v>102</v>
      </c>
      <c r="B8" s="24">
        <v>65285</v>
      </c>
    </row>
    <row r="9" spans="1:5" x14ac:dyDescent="0.25">
      <c r="A9" s="23" t="s">
        <v>103</v>
      </c>
      <c r="B9" s="24">
        <v>119050</v>
      </c>
    </row>
    <row r="10" spans="1:5" x14ac:dyDescent="0.25">
      <c r="A10" s="23" t="s">
        <v>105</v>
      </c>
      <c r="B10" s="24">
        <v>26171</v>
      </c>
    </row>
    <row r="11" spans="1:5" x14ac:dyDescent="0.25">
      <c r="A11" s="23" t="s">
        <v>106</v>
      </c>
      <c r="B11" s="24">
        <v>3600</v>
      </c>
    </row>
    <row r="12" spans="1:5" x14ac:dyDescent="0.25">
      <c r="A12" s="23" t="s">
        <v>107</v>
      </c>
      <c r="B12" s="24">
        <v>187637</v>
      </c>
    </row>
    <row r="13" spans="1:5" x14ac:dyDescent="0.25">
      <c r="A13" s="23" t="s">
        <v>108</v>
      </c>
      <c r="B13" s="24">
        <v>162119</v>
      </c>
    </row>
    <row r="14" spans="1:5" x14ac:dyDescent="0.25">
      <c r="A14" s="23" t="s">
        <v>112</v>
      </c>
      <c r="B14" s="24">
        <v>354337</v>
      </c>
    </row>
    <row r="15" spans="1:5" x14ac:dyDescent="0.25">
      <c r="A15" s="23" t="s">
        <v>109</v>
      </c>
      <c r="B15" s="24">
        <v>5052551</v>
      </c>
    </row>
    <row r="16" spans="1:5" x14ac:dyDescent="0.25">
      <c r="A16" s="23" t="s">
        <v>130</v>
      </c>
      <c r="B16" s="24">
        <v>105261</v>
      </c>
    </row>
    <row r="17" spans="1:2" x14ac:dyDescent="0.25">
      <c r="A17" s="23" t="s">
        <v>131</v>
      </c>
      <c r="B17" s="24">
        <v>36004</v>
      </c>
    </row>
    <row r="18" spans="1:2" x14ac:dyDescent="0.25">
      <c r="A18" s="23" t="s">
        <v>113</v>
      </c>
      <c r="B18" s="24">
        <v>614166</v>
      </c>
    </row>
    <row r="19" spans="1:2" x14ac:dyDescent="0.25">
      <c r="A19" s="23" t="s">
        <v>132</v>
      </c>
      <c r="B19" s="24">
        <f>446090-100</f>
        <v>445990</v>
      </c>
    </row>
    <row r="20" spans="1:2" x14ac:dyDescent="0.25">
      <c r="A20" s="23" t="s">
        <v>133</v>
      </c>
      <c r="B20" s="24">
        <v>265246</v>
      </c>
    </row>
    <row r="21" spans="1:2" x14ac:dyDescent="0.25">
      <c r="A21" s="23" t="s">
        <v>134</v>
      </c>
      <c r="B21" s="24">
        <v>913758</v>
      </c>
    </row>
    <row r="22" spans="1:2" x14ac:dyDescent="0.25">
      <c r="A22" s="23" t="s">
        <v>135</v>
      </c>
      <c r="B22" s="24">
        <v>338024</v>
      </c>
    </row>
    <row r="23" spans="1:2" x14ac:dyDescent="0.25">
      <c r="A23" s="23" t="s">
        <v>136</v>
      </c>
      <c r="B23" s="24">
        <v>78400</v>
      </c>
    </row>
    <row r="24" spans="1:2" x14ac:dyDescent="0.25">
      <c r="A24" s="23" t="s">
        <v>114</v>
      </c>
      <c r="B24" s="24">
        <v>63405</v>
      </c>
    </row>
    <row r="25" spans="1:2" x14ac:dyDescent="0.25">
      <c r="A25" s="23" t="s">
        <v>142</v>
      </c>
      <c r="B25" s="24">
        <v>1300</v>
      </c>
    </row>
    <row r="26" spans="1:2" x14ac:dyDescent="0.25">
      <c r="A26" s="23" t="s">
        <v>115</v>
      </c>
      <c r="B26" s="24">
        <v>3738412</v>
      </c>
    </row>
    <row r="27" spans="1:2" x14ac:dyDescent="0.25">
      <c r="A27" s="23" t="s">
        <v>143</v>
      </c>
      <c r="B27" s="24">
        <v>5071035</v>
      </c>
    </row>
    <row r="28" spans="1:2" x14ac:dyDescent="0.25">
      <c r="A28" s="23" t="s">
        <v>158</v>
      </c>
      <c r="B28" s="24">
        <v>2163</v>
      </c>
    </row>
    <row r="29" spans="1:2" x14ac:dyDescent="0.25">
      <c r="A29" s="23" t="s">
        <v>144</v>
      </c>
      <c r="B29" s="24">
        <v>1480038</v>
      </c>
    </row>
    <row r="30" spans="1:2" x14ac:dyDescent="0.25">
      <c r="A30" s="23" t="s">
        <v>125</v>
      </c>
      <c r="B30" s="24">
        <v>779094</v>
      </c>
    </row>
    <row r="31" spans="1:2" x14ac:dyDescent="0.25">
      <c r="A31" s="23" t="s">
        <v>146</v>
      </c>
      <c r="B31" s="24">
        <v>3614891</v>
      </c>
    </row>
    <row r="32" spans="1:2" x14ac:dyDescent="0.25">
      <c r="A32" s="23" t="s">
        <v>126</v>
      </c>
      <c r="B32" s="24">
        <v>1376388</v>
      </c>
    </row>
    <row r="33" spans="1:4" x14ac:dyDescent="0.25">
      <c r="A33" s="23" t="s">
        <v>127</v>
      </c>
      <c r="B33" s="24">
        <v>213896</v>
      </c>
    </row>
    <row r="34" spans="1:4" x14ac:dyDescent="0.25">
      <c r="A34" s="23" t="s">
        <v>128</v>
      </c>
      <c r="B34" s="24">
        <v>1048069</v>
      </c>
    </row>
    <row r="35" spans="1:4" x14ac:dyDescent="0.25">
      <c r="A35" s="23" t="s">
        <v>147</v>
      </c>
      <c r="B35" s="24">
        <v>703841</v>
      </c>
    </row>
    <row r="36" spans="1:4" x14ac:dyDescent="0.25">
      <c r="A36" s="23" t="s">
        <v>148</v>
      </c>
      <c r="B36" s="24">
        <v>323139</v>
      </c>
    </row>
    <row r="37" spans="1:4" x14ac:dyDescent="0.25">
      <c r="A37" s="35" t="s">
        <v>201</v>
      </c>
      <c r="B37" s="25">
        <v>1251353</v>
      </c>
      <c r="D37" t="s">
        <v>181</v>
      </c>
    </row>
    <row r="38" spans="1:4" x14ac:dyDescent="0.25">
      <c r="A38" s="35" t="s">
        <v>201</v>
      </c>
      <c r="B38" s="37">
        <v>1020317</v>
      </c>
      <c r="D38" t="s">
        <v>182</v>
      </c>
    </row>
    <row r="39" spans="1:4" x14ac:dyDescent="0.25">
      <c r="A39" s="35" t="s">
        <v>201</v>
      </c>
      <c r="B39" s="25">
        <v>1020941</v>
      </c>
      <c r="D39" t="s">
        <v>183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1</vt:i4>
      </vt:variant>
    </vt:vector>
  </HeadingPairs>
  <TitlesOfParts>
    <vt:vector size="8" baseType="lpstr">
      <vt:lpstr>Pamatbudžets</vt:lpstr>
      <vt:lpstr>Lapa2</vt:lpstr>
      <vt:lpstr>Lapa1</vt:lpstr>
      <vt:lpstr>Cesvaines IZD pa VF</vt:lpstr>
      <vt:lpstr>Lubānas IZD pa VF</vt:lpstr>
      <vt:lpstr>Ērgļu apv. IZD pa VF</vt:lpstr>
      <vt:lpstr>Madonas IZD pa VF</vt:lpstr>
      <vt:lpstr>Pamatbudžets!Drukas_apgabals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LindaV</cp:lastModifiedBy>
  <cp:lastPrinted>2021-07-14T13:14:39Z</cp:lastPrinted>
  <dcterms:created xsi:type="dcterms:W3CDTF">2021-06-28T07:06:17Z</dcterms:created>
  <dcterms:modified xsi:type="dcterms:W3CDTF">2021-07-21T12:49:01Z</dcterms:modified>
</cp:coreProperties>
</file>